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460" windowWidth="32767" windowHeight="20540" activeTab="0"/>
  </bookViews>
  <sheets>
    <sheet name="Aluxus Bestellformular" sheetId="1" r:id="rId1"/>
  </sheets>
  <definedNames>
    <definedName name="_xlfn.AGGREGATE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<sst xmlns="http://schemas.openxmlformats.org/spreadsheetml/2006/main" count="130" uniqueCount="125">
  <si>
    <t>Blattfänger</t>
  </si>
  <si>
    <t>Rinnenkopplung</t>
  </si>
  <si>
    <t>Wandprofil</t>
  </si>
  <si>
    <t>Zubehör</t>
  </si>
  <si>
    <t>Stegplatten</t>
  </si>
  <si>
    <t>Höhenunterschied (HU)</t>
  </si>
  <si>
    <t xml:space="preserve">Breite nach Abzug </t>
  </si>
  <si>
    <t>Breite der Felder</t>
  </si>
  <si>
    <t>Abzug Seiten</t>
  </si>
  <si>
    <t>Blendenbreite</t>
  </si>
  <si>
    <t>Abzug Sparren</t>
  </si>
  <si>
    <t>Plattenbreiten:    1.</t>
  </si>
  <si>
    <t>Anti-Dust Tape</t>
  </si>
  <si>
    <t>Anti-Dust Tape Non-Filter</t>
  </si>
  <si>
    <t>Sparren</t>
  </si>
  <si>
    <t>Pfosten</t>
  </si>
  <si>
    <t>Firmenname:</t>
  </si>
  <si>
    <t>Kundennummer:</t>
  </si>
  <si>
    <t>Strasse:</t>
  </si>
  <si>
    <t>PLZ:</t>
  </si>
  <si>
    <t>Stadt:</t>
  </si>
  <si>
    <t>Kommission:</t>
  </si>
  <si>
    <t>Farbe:</t>
  </si>
  <si>
    <t>Breite:</t>
  </si>
  <si>
    <t>Tiefe:</t>
  </si>
  <si>
    <t>Gefälle:</t>
  </si>
  <si>
    <t>Dacheindeckung:</t>
  </si>
  <si>
    <t>empfohlene Durchgangshöhe 2200mm</t>
  </si>
  <si>
    <t>Dachkonstruktion</t>
  </si>
  <si>
    <t>Aluxus® Rinne</t>
  </si>
  <si>
    <t>Innenkern Aluxus® Rinne</t>
  </si>
  <si>
    <t>Sparrendeckel Standard</t>
  </si>
  <si>
    <t>Glasmaß berechnen</t>
  </si>
  <si>
    <t>Zaunsystem</t>
  </si>
  <si>
    <t>Aluxus® Stegplatten U-Profil</t>
  </si>
  <si>
    <t>U-Profil Zaun</t>
  </si>
  <si>
    <t>Aluxus ® Zaunpfosten</t>
  </si>
  <si>
    <t>Wanddichtung</t>
  </si>
  <si>
    <t>Red.Stück 80 auf 75</t>
  </si>
  <si>
    <t>Bogen 90° grau</t>
  </si>
  <si>
    <t>Bogen 45° grau</t>
  </si>
  <si>
    <t>Abflussrohr grau</t>
  </si>
  <si>
    <t>L-Winkel 20x40</t>
  </si>
  <si>
    <t>U-Bodenbefestig.</t>
  </si>
  <si>
    <t>LED Strahler und Zubehör</t>
  </si>
  <si>
    <t>Art der Eindeckung:</t>
  </si>
  <si>
    <t>Aluxus ® Zaunpaneel</t>
  </si>
  <si>
    <t>6er Set mit 4 Kanal FB</t>
  </si>
  <si>
    <t>12er Set mit 4 Kanal FB</t>
  </si>
  <si>
    <t>Unterschrift Warenausgang</t>
  </si>
  <si>
    <t>Datum</t>
  </si>
  <si>
    <t>Unterschrift Kunde</t>
  </si>
  <si>
    <t>Schraubenpakete</t>
  </si>
  <si>
    <t>Paket 1 Glas bis 4m</t>
  </si>
  <si>
    <t>Paket 2 Glas bis 6m</t>
  </si>
  <si>
    <t>Paket 3 Glas bis 8m</t>
  </si>
  <si>
    <t xml:space="preserve">Paket 1 Polycarbonat bis 4m </t>
  </si>
  <si>
    <t>Paket 2 Polycarbonat bis 6m</t>
  </si>
  <si>
    <t>Paket 3 Polycarbonat bis 8m</t>
  </si>
  <si>
    <t>Hier klicken für Informationen</t>
  </si>
  <si>
    <t>2550mm</t>
  </si>
  <si>
    <t>HU2</t>
  </si>
  <si>
    <t>c2</t>
  </si>
  <si>
    <t>2.</t>
  </si>
  <si>
    <r>
      <t>HU2</t>
    </r>
    <r>
      <rPr>
        <sz val="11"/>
        <color indexed="9"/>
        <rFont val="Calibri"/>
        <family val="2"/>
      </rPr>
      <t xml:space="preserve"> + C2</t>
    </r>
  </si>
  <si>
    <r>
      <rPr>
        <sz val="11"/>
        <color indexed="9"/>
        <rFont val="Calibri"/>
        <family val="2"/>
      </rPr>
      <t>√(HU</t>
    </r>
    <r>
      <rPr>
        <vertAlign val="superscript"/>
        <sz val="11"/>
        <color indexed="9"/>
        <rFont val="Calibri"/>
        <family val="2"/>
      </rPr>
      <t>2</t>
    </r>
    <r>
      <rPr>
        <sz val="11"/>
        <color indexed="9"/>
        <rFont val="Calibri"/>
        <family val="2"/>
      </rPr>
      <t xml:space="preserve"> + C</t>
    </r>
    <r>
      <rPr>
        <vertAlign val="superscript"/>
        <sz val="11"/>
        <color indexed="9"/>
        <rFont val="Calibri"/>
        <family val="2"/>
      </rPr>
      <t>2</t>
    </r>
    <r>
      <rPr>
        <sz val="11"/>
        <color indexed="9"/>
        <rFont val="Calibri"/>
        <family val="2"/>
      </rPr>
      <t>)</t>
    </r>
  </si>
  <si>
    <t>Deckeldichtung</t>
  </si>
  <si>
    <t>Stopperwinkel</t>
  </si>
  <si>
    <t>Abflussrohr Verbinder</t>
  </si>
  <si>
    <t>Clipsprofil Abschluss</t>
  </si>
  <si>
    <t>Zaunpfosten Clipsprofil</t>
  </si>
  <si>
    <t>L-Winkel 30x60</t>
  </si>
  <si>
    <t>LED Zubehörset</t>
  </si>
  <si>
    <t>LED Bohrkrone mit Bohrer</t>
  </si>
  <si>
    <t>4er SET Batterien</t>
  </si>
  <si>
    <t xml:space="preserve"> =Auswahlfelder</t>
  </si>
  <si>
    <t>Statikträgerdeckel</t>
  </si>
  <si>
    <t>Wandprofildeckel</t>
  </si>
  <si>
    <t>Aluxus® Flexal Abdichtmasse</t>
  </si>
  <si>
    <t>Innenkern Sparren. Vorgewalzt.</t>
  </si>
  <si>
    <t>Aluxana Reiniger</t>
  </si>
  <si>
    <t>Druckeinstellungen:</t>
  </si>
  <si>
    <t>Buchbare Zusatzleistungen:</t>
  </si>
  <si>
    <t>Sparren inkl. Sparrendeckel vorgebohrt</t>
  </si>
  <si>
    <t>Dichtungen einziehen in Sparren &amp; Deckel</t>
  </si>
  <si>
    <t>Montage der Verkabelung</t>
  </si>
  <si>
    <t>LED Strahler nach Vorgabe eingebohrt. Inkl. der</t>
  </si>
  <si>
    <t xml:space="preserve">Sie wünschen diese Bestellung für ihre Unterlagen auszudrucken. Je nach Excelkonfiguration passt die Bestellung nicht auf eine Seite. Gehen Sie hierzu wie folgt vor. Wählen Sie hierfür </t>
  </si>
  <si>
    <t>im Menüpunkt Seitenlayout, den Punkt "Höhe". Wählen Sie im Dropdownauswahlbereich "1 Seite" aus. Nun sollte der Druck auf einer Seite funktionieren.</t>
  </si>
  <si>
    <t>Sparrendeckel Außen</t>
  </si>
  <si>
    <t>Blenden geschnitten</t>
  </si>
  <si>
    <t>Blenden ungeschnitten</t>
  </si>
  <si>
    <t>Aluxus® Reinigungsset Start</t>
  </si>
  <si>
    <t>Aluxus® Reinigungsset Premium</t>
  </si>
  <si>
    <t>Senden Sie ihre Bestellung als Excel-Datei per E-Mail an bestellung@aluxus.de. Sollten Sie die Bestel-</t>
  </si>
  <si>
    <t>lung in einem anderen Format oder per Fax senden, fallen 20,00 Euro/ netto Bearbeitungsgebühr an.</t>
  </si>
  <si>
    <t>Aluxus® Softline Profil Rinne</t>
  </si>
  <si>
    <t xml:space="preserve">Rinnendeckel Aluxus® Softline </t>
  </si>
  <si>
    <t xml:space="preserve">Rinnendeckel Aluxus® Standard </t>
  </si>
  <si>
    <t xml:space="preserve">Rinnendeckel Anonym Standard </t>
  </si>
  <si>
    <t xml:space="preserve">Rinnendeckel Anonym Softline </t>
  </si>
  <si>
    <t>Dichtungen</t>
  </si>
  <si>
    <t>VSG Glas</t>
  </si>
  <si>
    <t>Sparrendichtung</t>
  </si>
  <si>
    <t>Sonderfarbe RAL-Nr.:</t>
  </si>
  <si>
    <t>Pfostenkappe flach, für 80mm Pfosten</t>
  </si>
  <si>
    <t>Pfostenkappe flach, für 110mm Pfosten</t>
  </si>
  <si>
    <t>Rinnen Bohrkrone mit Bohrer</t>
  </si>
  <si>
    <t>Clipsblende Statikträger, max. Länge 6m</t>
  </si>
  <si>
    <t>Statikträger, max. Länge 7m</t>
  </si>
  <si>
    <t>Innenkern Statikträger 6m Länge, ohne Zuschnitt</t>
  </si>
  <si>
    <t>Zusatzpfosten</t>
  </si>
  <si>
    <t>&amp;</t>
  </si>
  <si>
    <t>Rinnenbohrung</t>
  </si>
  <si>
    <t>Sonstiges und zusätzliche Profile bitte hier eintragen:</t>
  </si>
  <si>
    <t>F-Profil 6m</t>
  </si>
  <si>
    <t>H-Profil</t>
  </si>
  <si>
    <t>&lt;- Hier den Haken für die Glasmaße setzen</t>
  </si>
  <si>
    <t>H-Profil Dichtung</t>
  </si>
  <si>
    <t>anthrazit</t>
  </si>
  <si>
    <t>Länge rechts:</t>
  </si>
  <si>
    <t>Rinnenstoß</t>
  </si>
  <si>
    <t>Länge links:</t>
  </si>
  <si>
    <t>Länge mitte:</t>
  </si>
  <si>
    <t>klar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</si>
</sst>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General&quot;°&quot;"/>
    <numFmt numFmtId="175" formatCode="General&quot; °&quot;"/>
    <numFmt numFmtId="176" formatCode="General&quot; mm&quot;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General\ &quot;mm&quot;"/>
    <numFmt numFmtId="182" formatCode="General&quot; m&quot;"/>
    <numFmt numFmtId="183" formatCode="General\ &quot;stk.&quot;"/>
    <numFmt numFmtId="184" formatCode="0.0000"/>
    <numFmt numFmtId="185" formatCode="0.000"/>
    <numFmt numFmtId="186" formatCode="0.0"/>
    <numFmt numFmtId="187" formatCode="General\ &quot;m&quot;"/>
    <numFmt numFmtId="188" formatCode="General&quot; Stk.&quot;"/>
    <numFmt numFmtId="189" formatCode="General\ &quot;Stk.&quot;"/>
    <numFmt numFmtId="190" formatCode="General&quot; kg&quot;"/>
    <numFmt numFmtId="191" formatCode="[$-407]dddd\,\ d\.\ mmmm\ yyyy"/>
    <numFmt numFmtId="192" formatCode="General\ &quot;Stk. - Mega&quot;"/>
    <numFmt numFmtId="193" formatCode="00000"/>
    <numFmt numFmtId="194" formatCode="mm"/>
    <numFmt numFmtId="195" formatCode="General;mm"/>
    <numFmt numFmtId="196" formatCode="General&quot;mm&quot;"/>
    <numFmt numFmtId="197" formatCode="General&quot;Grad&quot;"/>
    <numFmt numFmtId="198" formatCode="General\ &quot;Grad&quot;"/>
    <numFmt numFmtId="199" formatCode="General\ &quot;Stück&quot;"/>
    <numFmt numFmtId="200" formatCode="&quot;Stück&quot;"/>
    <numFmt numFmtId="201" formatCode="General\ &quot;Stück x&quot;"/>
    <numFmt numFmtId="202" formatCode="General\ &quot;Stück á&quot;"/>
    <numFmt numFmtId="203" formatCode="General\ &quot;Stück a´&quot;"/>
    <numFmt numFmtId="204" formatCode="General\ m"/>
    <numFmt numFmtId="205" formatCode="General&quot;m&quot;"/>
    <numFmt numFmtId="206" formatCode="General&quot;SP&quot;"/>
    <numFmt numFmtId="207" formatCode="&quot;SP&quot;General"/>
    <numFmt numFmtId="208" formatCode="&quot;Ri&quot;General"/>
    <numFmt numFmtId="209" formatCode="&quot;Sp&quot;General"/>
    <numFmt numFmtId="210" formatCode="&quot;Bl&quot;General"/>
    <numFmt numFmtId="211" formatCode="&quot;Bl.&quot;General"/>
    <numFmt numFmtId="212" formatCode="&quot;Ri.&quot;General"/>
    <numFmt numFmtId="213" formatCode="&quot;Sp.&quot;General"/>
    <numFmt numFmtId="214" formatCode="&quot;Pf.&quot;General"/>
    <numFmt numFmtId="215" formatCode="General&quot;x&quot;"/>
    <numFmt numFmtId="216" formatCode="General&quot;Pf&quot;"/>
    <numFmt numFmtId="217" formatCode="m"/>
    <numFmt numFmtId="218" formatCode="&quot;m&quot;"/>
    <numFmt numFmtId="219" formatCode="General\ &quot;St.&quot;"/>
    <numFmt numFmtId="220" formatCode="General\ &quot;Dosen&quot;"/>
    <numFmt numFmtId="221" formatCode="\&quot;\W\ah\r\&quot;;\&quot;\W\ah\r\&quot;;\&quot;\F\a\ls\ch\&quot;"/>
    <numFmt numFmtId="222" formatCode="&quot;mm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vertAlign val="superscript"/>
      <sz val="11"/>
      <color indexed="9"/>
      <name val="Calibri"/>
      <family val="2"/>
    </font>
    <font>
      <sz val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5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i/>
      <sz val="11"/>
      <color indexed="9"/>
      <name val="Calibri"/>
      <family val="2"/>
    </font>
    <font>
      <b/>
      <sz val="11"/>
      <color indexed="10"/>
      <name val="Calibri"/>
      <family val="2"/>
    </font>
    <font>
      <sz val="13"/>
      <name val="Lucida Grande"/>
      <family val="2"/>
    </font>
    <font>
      <b/>
      <u val="single"/>
      <sz val="18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BDD7EE"/>
        <bgColor indexed="64"/>
      </patternFill>
    </fill>
  </fills>
  <borders count="8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theme="1"/>
      </right>
      <top style="thin"/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theme="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medium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medium">
        <color theme="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>
        <color theme="1"/>
      </right>
      <top>
        <color indexed="63"/>
      </top>
      <bottom style="thin">
        <color theme="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medium">
        <color theme="1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 style="thin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theme="1"/>
      </right>
      <top>
        <color indexed="63"/>
      </top>
      <bottom style="medium"/>
    </border>
    <border>
      <left>
        <color indexed="63"/>
      </left>
      <right style="medium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thin">
        <color theme="1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>
        <color theme="1"/>
      </left>
      <right>
        <color indexed="63"/>
      </right>
      <top style="medium">
        <color theme="1"/>
      </top>
      <bottom style="medium"/>
    </border>
    <border>
      <left>
        <color indexed="63"/>
      </left>
      <right>
        <color indexed="63"/>
      </right>
      <top style="medium">
        <color theme="1"/>
      </top>
      <bottom style="medium"/>
    </border>
    <border>
      <left>
        <color indexed="63"/>
      </left>
      <right style="medium">
        <color theme="1"/>
      </right>
      <top style="medium">
        <color theme="1"/>
      </top>
      <bottom style="medium"/>
    </border>
    <border>
      <left style="medium">
        <color theme="1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9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0" fontId="3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8" fillId="0" borderId="0" xfId="0" applyFont="1" applyAlignment="1">
      <alignment/>
    </xf>
    <xf numFmtId="0" fontId="30" fillId="0" borderId="0" xfId="0" applyFont="1" applyBorder="1" applyAlignment="1">
      <alignment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5" fillId="0" borderId="11" xfId="0" applyFont="1" applyBorder="1" applyAlignment="1">
      <alignment/>
    </xf>
    <xf numFmtId="0" fontId="0" fillId="0" borderId="14" xfId="0" applyFill="1" applyBorder="1" applyAlignment="1">
      <alignment/>
    </xf>
    <xf numFmtId="0" fontId="35" fillId="0" borderId="13" xfId="0" applyFont="1" applyBorder="1" applyAlignment="1">
      <alignment/>
    </xf>
    <xf numFmtId="0" fontId="0" fillId="0" borderId="12" xfId="0" applyFill="1" applyBorder="1" applyAlignment="1">
      <alignment/>
    </xf>
    <xf numFmtId="199" fontId="24" fillId="0" borderId="12" xfId="0" applyNumberFormat="1" applyFont="1" applyBorder="1" applyAlignment="1">
      <alignment horizontal="center"/>
    </xf>
    <xf numFmtId="0" fontId="4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9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96" fontId="24" fillId="0" borderId="0" xfId="0" applyNumberFormat="1" applyFont="1" applyBorder="1" applyAlignment="1">
      <alignment horizontal="right"/>
    </xf>
    <xf numFmtId="187" fontId="24" fillId="0" borderId="0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96" fontId="0" fillId="0" borderId="17" xfId="0" applyNumberFormat="1" applyBorder="1" applyAlignment="1">
      <alignment horizontal="right"/>
    </xf>
    <xf numFmtId="0" fontId="0" fillId="0" borderId="18" xfId="0" applyBorder="1" applyAlignment="1">
      <alignment/>
    </xf>
    <xf numFmtId="196" fontId="0" fillId="0" borderId="19" xfId="0" applyNumberFormat="1" applyBorder="1" applyAlignment="1">
      <alignment horizontal="right"/>
    </xf>
    <xf numFmtId="0" fontId="0" fillId="0" borderId="20" xfId="0" applyBorder="1" applyAlignment="1">
      <alignment/>
    </xf>
    <xf numFmtId="196" fontId="0" fillId="0" borderId="21" xfId="0" applyNumberFormat="1" applyBorder="1" applyAlignment="1">
      <alignment horizontal="right"/>
    </xf>
    <xf numFmtId="0" fontId="0" fillId="0" borderId="22" xfId="0" applyFill="1" applyBorder="1" applyAlignment="1">
      <alignment/>
    </xf>
    <xf numFmtId="196" fontId="0" fillId="0" borderId="23" xfId="0" applyNumberFormat="1" applyBorder="1" applyAlignment="1">
      <alignment horizontal="right"/>
    </xf>
    <xf numFmtId="0" fontId="0" fillId="0" borderId="20" xfId="0" applyFill="1" applyBorder="1" applyAlignment="1">
      <alignment/>
    </xf>
    <xf numFmtId="0" fontId="24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4" fillId="0" borderId="25" xfId="0" applyFont="1" applyBorder="1" applyAlignment="1">
      <alignment/>
    </xf>
    <xf numFmtId="0" fontId="0" fillId="33" borderId="0" xfId="0" applyFill="1" applyAlignment="1">
      <alignment/>
    </xf>
    <xf numFmtId="0" fontId="0" fillId="0" borderId="28" xfId="0" applyBorder="1" applyAlignment="1">
      <alignment/>
    </xf>
    <xf numFmtId="0" fontId="46" fillId="0" borderId="0" xfId="0" applyFont="1" applyBorder="1" applyAlignment="1">
      <alignment horizontal="left"/>
    </xf>
    <xf numFmtId="0" fontId="35" fillId="34" borderId="0" xfId="0" applyFont="1" applyFill="1" applyBorder="1" applyAlignment="1">
      <alignment horizontal="center"/>
    </xf>
    <xf numFmtId="196" fontId="35" fillId="34" borderId="0" xfId="0" applyNumberFormat="1" applyFont="1" applyFill="1" applyBorder="1" applyAlignment="1">
      <alignment horizontal="center"/>
    </xf>
    <xf numFmtId="198" fontId="35" fillId="34" borderId="0" xfId="0" applyNumberFormat="1" applyFont="1" applyFill="1" applyBorder="1" applyAlignment="1">
      <alignment horizontal="center"/>
    </xf>
    <xf numFmtId="199" fontId="0" fillId="0" borderId="16" xfId="0" applyNumberFormat="1" applyBorder="1" applyAlignment="1">
      <alignment horizontal="center"/>
    </xf>
    <xf numFmtId="199" fontId="0" fillId="0" borderId="14" xfId="0" applyNumberFormat="1" applyBorder="1" applyAlignment="1">
      <alignment horizontal="center"/>
    </xf>
    <xf numFmtId="0" fontId="0" fillId="0" borderId="29" xfId="0" applyBorder="1" applyAlignment="1">
      <alignment/>
    </xf>
    <xf numFmtId="176" fontId="49" fillId="34" borderId="0" xfId="0" applyNumberFormat="1" applyFont="1" applyFill="1" applyBorder="1" applyAlignment="1" applyProtection="1">
      <alignment horizontal="left" vertical="center"/>
      <protection/>
    </xf>
    <xf numFmtId="0" fontId="49" fillId="34" borderId="0" xfId="0" applyFont="1" applyFill="1" applyBorder="1" applyAlignment="1" applyProtection="1">
      <alignment horizontal="left" vertical="center"/>
      <protection/>
    </xf>
    <xf numFmtId="0" fontId="50" fillId="0" borderId="16" xfId="0" applyFont="1" applyBorder="1" applyAlignment="1">
      <alignment/>
    </xf>
    <xf numFmtId="0" fontId="24" fillId="0" borderId="15" xfId="0" applyFont="1" applyBorder="1" applyAlignment="1">
      <alignment/>
    </xf>
    <xf numFmtId="199" fontId="24" fillId="0" borderId="0" xfId="0" applyNumberFormat="1" applyFont="1" applyBorder="1" applyAlignment="1">
      <alignment horizontal="center"/>
    </xf>
    <xf numFmtId="199" fontId="24" fillId="0" borderId="14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35" fillId="0" borderId="31" xfId="0" applyFont="1" applyBorder="1" applyAlignment="1">
      <alignment/>
    </xf>
    <xf numFmtId="176" fontId="0" fillId="34" borderId="0" xfId="0" applyNumberFormat="1" applyFont="1" applyFill="1" applyBorder="1" applyAlignment="1" applyProtection="1">
      <alignment horizontal="left" vertical="center"/>
      <protection/>
    </xf>
    <xf numFmtId="20" fontId="0" fillId="0" borderId="0" xfId="0" applyNumberFormat="1" applyFont="1" applyBorder="1" applyAlignment="1" applyProtection="1">
      <alignment horizontal="left" vertical="center" indent="15"/>
      <protection/>
    </xf>
    <xf numFmtId="0" fontId="30" fillId="0" borderId="0" xfId="0" applyFont="1" applyBorder="1" applyAlignment="1" applyProtection="1">
      <alignment horizontal="right" vertical="center"/>
      <protection/>
    </xf>
    <xf numFmtId="176" fontId="30" fillId="34" borderId="0" xfId="0" applyNumberFormat="1" applyFont="1" applyFill="1" applyBorder="1" applyAlignment="1" applyProtection="1">
      <alignment horizontal="left"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  <xf numFmtId="176" fontId="30" fillId="34" borderId="0" xfId="0" applyNumberFormat="1" applyFont="1" applyFill="1" applyBorder="1" applyAlignment="1" applyProtection="1">
      <alignment horizontal="right" vertical="center"/>
      <protection/>
    </xf>
    <xf numFmtId="1" fontId="30" fillId="34" borderId="0" xfId="0" applyNumberFormat="1" applyFont="1" applyFill="1" applyBorder="1" applyAlignment="1" applyProtection="1">
      <alignment horizontal="left" vertical="center"/>
      <protection/>
    </xf>
    <xf numFmtId="0" fontId="35" fillId="0" borderId="32" xfId="0" applyFont="1" applyBorder="1" applyAlignment="1">
      <alignment/>
    </xf>
    <xf numFmtId="0" fontId="35" fillId="0" borderId="33" xfId="0" applyFont="1" applyBorder="1" applyAlignment="1">
      <alignment/>
    </xf>
    <xf numFmtId="0" fontId="35" fillId="0" borderId="34" xfId="0" applyFont="1" applyBorder="1" applyAlignment="1">
      <alignment/>
    </xf>
    <xf numFmtId="0" fontId="35" fillId="0" borderId="35" xfId="0" applyFont="1" applyBorder="1" applyAlignment="1">
      <alignment/>
    </xf>
    <xf numFmtId="0" fontId="35" fillId="0" borderId="36" xfId="0" applyFont="1" applyBorder="1" applyAlignment="1">
      <alignment/>
    </xf>
    <xf numFmtId="0" fontId="0" fillId="0" borderId="37" xfId="0" applyBorder="1" applyAlignment="1">
      <alignment/>
    </xf>
    <xf numFmtId="0" fontId="35" fillId="0" borderId="38" xfId="0" applyFont="1" applyBorder="1" applyAlignment="1">
      <alignment/>
    </xf>
    <xf numFmtId="0" fontId="35" fillId="0" borderId="39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5" fillId="0" borderId="40" xfId="0" applyFont="1" applyBorder="1" applyAlignment="1">
      <alignment/>
    </xf>
    <xf numFmtId="0" fontId="35" fillId="0" borderId="41" xfId="0" applyFont="1" applyBorder="1" applyAlignment="1">
      <alignment/>
    </xf>
    <xf numFmtId="0" fontId="0" fillId="0" borderId="42" xfId="0" applyBorder="1" applyAlignment="1">
      <alignment/>
    </xf>
    <xf numFmtId="0" fontId="35" fillId="8" borderId="43" xfId="0" applyFont="1" applyFill="1" applyBorder="1" applyAlignment="1">
      <alignment horizontal="center"/>
    </xf>
    <xf numFmtId="196" fontId="35" fillId="8" borderId="44" xfId="0" applyNumberFormat="1" applyFont="1" applyFill="1" applyBorder="1" applyAlignment="1">
      <alignment horizontal="center"/>
    </xf>
    <xf numFmtId="198" fontId="35" fillId="8" borderId="44" xfId="0" applyNumberFormat="1" applyFont="1" applyFill="1" applyBorder="1" applyAlignment="1">
      <alignment horizontal="center"/>
    </xf>
    <xf numFmtId="0" fontId="35" fillId="8" borderId="44" xfId="0" applyFont="1" applyFill="1" applyBorder="1" applyAlignment="1">
      <alignment horizontal="center"/>
    </xf>
    <xf numFmtId="0" fontId="35" fillId="8" borderId="45" xfId="0" applyFont="1" applyFill="1" applyBorder="1" applyAlignment="1">
      <alignment horizontal="center"/>
    </xf>
    <xf numFmtId="199" fontId="0" fillId="8" borderId="12" xfId="0" applyNumberFormat="1" applyFill="1" applyBorder="1" applyAlignment="1">
      <alignment horizontal="center"/>
    </xf>
    <xf numFmtId="199" fontId="0" fillId="8" borderId="13" xfId="0" applyNumberFormat="1" applyFill="1" applyBorder="1" applyAlignment="1">
      <alignment horizontal="center"/>
    </xf>
    <xf numFmtId="0" fontId="0" fillId="8" borderId="46" xfId="0" applyFill="1" applyBorder="1" applyAlignment="1">
      <alignment horizontal="right"/>
    </xf>
    <xf numFmtId="199" fontId="0" fillId="8" borderId="46" xfId="0" applyNumberFormat="1" applyFill="1" applyBorder="1" applyAlignment="1">
      <alignment horizontal="right"/>
    </xf>
    <xf numFmtId="0" fontId="30" fillId="35" borderId="16" xfId="0" applyFont="1" applyFill="1" applyBorder="1" applyAlignment="1">
      <alignment/>
    </xf>
    <xf numFmtId="0" fontId="0" fillId="8" borderId="0" xfId="0" applyFill="1" applyAlignment="1">
      <alignment/>
    </xf>
    <xf numFmtId="0" fontId="47" fillId="35" borderId="47" xfId="0" applyFont="1" applyFill="1" applyBorder="1" applyAlignment="1">
      <alignment horizontal="left"/>
    </xf>
    <xf numFmtId="0" fontId="47" fillId="35" borderId="48" xfId="0" applyFont="1" applyFill="1" applyBorder="1" applyAlignment="1">
      <alignment horizontal="left"/>
    </xf>
    <xf numFmtId="0" fontId="30" fillId="35" borderId="48" xfId="0" applyFont="1" applyFill="1" applyBorder="1" applyAlignment="1">
      <alignment/>
    </xf>
    <xf numFmtId="0" fontId="30" fillId="35" borderId="49" xfId="0" applyFont="1" applyFill="1" applyBorder="1" applyAlignment="1">
      <alignment/>
    </xf>
    <xf numFmtId="0" fontId="47" fillId="36" borderId="50" xfId="0" applyFont="1" applyFill="1" applyBorder="1" applyAlignment="1">
      <alignment/>
    </xf>
    <xf numFmtId="0" fontId="0" fillId="36" borderId="51" xfId="0" applyFill="1" applyBorder="1" applyAlignment="1">
      <alignment/>
    </xf>
    <xf numFmtId="0" fontId="0" fillId="36" borderId="52" xfId="0" applyFill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199" fontId="0" fillId="8" borderId="55" xfId="0" applyNumberFormat="1" applyFill="1" applyBorder="1" applyAlignment="1">
      <alignment horizontal="right"/>
    </xf>
    <xf numFmtId="0" fontId="47" fillId="35" borderId="50" xfId="0" applyFont="1" applyFill="1" applyBorder="1" applyAlignment="1">
      <alignment/>
    </xf>
    <xf numFmtId="0" fontId="0" fillId="35" borderId="51" xfId="0" applyFill="1" applyBorder="1" applyAlignment="1">
      <alignment/>
    </xf>
    <xf numFmtId="0" fontId="0" fillId="0" borderId="56" xfId="0" applyBorder="1" applyAlignment="1">
      <alignment/>
    </xf>
    <xf numFmtId="0" fontId="24" fillId="0" borderId="56" xfId="0" applyFont="1" applyFill="1" applyBorder="1" applyAlignment="1">
      <alignment horizontal="left"/>
    </xf>
    <xf numFmtId="199" fontId="0" fillId="8" borderId="14" xfId="0" applyNumberFormat="1" applyFill="1" applyBorder="1" applyAlignment="1">
      <alignment horizontal="center"/>
    </xf>
    <xf numFmtId="0" fontId="24" fillId="8" borderId="46" xfId="0" applyNumberFormat="1" applyFont="1" applyFill="1" applyBorder="1" applyAlignment="1">
      <alignment horizontal="right"/>
    </xf>
    <xf numFmtId="0" fontId="30" fillId="35" borderId="52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7" xfId="0" applyFill="1" applyBorder="1" applyAlignment="1">
      <alignment/>
    </xf>
    <xf numFmtId="0" fontId="0" fillId="35" borderId="52" xfId="0" applyFill="1" applyBorder="1" applyAlignment="1">
      <alignment/>
    </xf>
    <xf numFmtId="0" fontId="0" fillId="0" borderId="58" xfId="0" applyBorder="1" applyAlignment="1">
      <alignment/>
    </xf>
    <xf numFmtId="0" fontId="30" fillId="35" borderId="15" xfId="0" applyFont="1" applyFill="1" applyBorder="1" applyAlignment="1">
      <alignment/>
    </xf>
    <xf numFmtId="199" fontId="0" fillId="0" borderId="12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18" xfId="0" applyBorder="1" applyAlignment="1">
      <alignment horizontal="right"/>
    </xf>
    <xf numFmtId="0" fontId="0" fillId="0" borderId="48" xfId="0" applyBorder="1" applyAlignment="1">
      <alignment/>
    </xf>
    <xf numFmtId="176" fontId="49" fillId="34" borderId="48" xfId="0" applyNumberFormat="1" applyFont="1" applyFill="1" applyBorder="1" applyAlignment="1" applyProtection="1">
      <alignment horizontal="left" vertical="center"/>
      <protection/>
    </xf>
    <xf numFmtId="0" fontId="0" fillId="0" borderId="49" xfId="0" applyBorder="1" applyAlignment="1">
      <alignment/>
    </xf>
    <xf numFmtId="0" fontId="0" fillId="0" borderId="59" xfId="0" applyBorder="1" applyAlignment="1">
      <alignment/>
    </xf>
    <xf numFmtId="0" fontId="0" fillId="0" borderId="60" xfId="0" applyFont="1" applyBorder="1" applyAlignment="1" applyProtection="1">
      <alignment horizontal="left" vertical="center"/>
      <protection/>
    </xf>
    <xf numFmtId="0" fontId="0" fillId="0" borderId="60" xfId="0" applyFont="1" applyBorder="1" applyAlignment="1">
      <alignment/>
    </xf>
    <xf numFmtId="0" fontId="0" fillId="0" borderId="60" xfId="0" applyBorder="1" applyAlignment="1">
      <alignment/>
    </xf>
    <xf numFmtId="176" fontId="0" fillId="34" borderId="60" xfId="0" applyNumberFormat="1" applyFont="1" applyFill="1" applyBorder="1" applyAlignment="1" applyProtection="1">
      <alignment horizontal="left" vertical="center"/>
      <protection/>
    </xf>
    <xf numFmtId="176" fontId="49" fillId="34" borderId="60" xfId="0" applyNumberFormat="1" applyFont="1" applyFill="1" applyBorder="1" applyAlignment="1" applyProtection="1">
      <alignment horizontal="left" vertical="center"/>
      <protection/>
    </xf>
    <xf numFmtId="0" fontId="0" fillId="0" borderId="61" xfId="0" applyBorder="1" applyAlignment="1">
      <alignment/>
    </xf>
    <xf numFmtId="0" fontId="30" fillId="35" borderId="17" xfId="0" applyFont="1" applyFill="1" applyBorder="1" applyAlignment="1">
      <alignment/>
    </xf>
    <xf numFmtId="0" fontId="30" fillId="35" borderId="62" xfId="0" applyFont="1" applyFill="1" applyBorder="1" applyAlignment="1">
      <alignment/>
    </xf>
    <xf numFmtId="0" fontId="30" fillId="35" borderId="24" xfId="0" applyFont="1" applyFill="1" applyBorder="1" applyAlignment="1">
      <alignment/>
    </xf>
    <xf numFmtId="0" fontId="30" fillId="35" borderId="58" xfId="0" applyFont="1" applyFill="1" applyBorder="1" applyAlignment="1">
      <alignment/>
    </xf>
    <xf numFmtId="0" fontId="35" fillId="0" borderId="0" xfId="0" applyFont="1" applyAlignment="1">
      <alignment/>
    </xf>
    <xf numFmtId="0" fontId="0" fillId="0" borderId="46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 horizontal="right"/>
    </xf>
    <xf numFmtId="199" fontId="0" fillId="0" borderId="54" xfId="0" applyNumberFormat="1" applyBorder="1" applyAlignment="1">
      <alignment horizontal="center"/>
    </xf>
    <xf numFmtId="196" fontId="0" fillId="0" borderId="54" xfId="0" applyNumberFormat="1" applyBorder="1" applyAlignment="1">
      <alignment/>
    </xf>
    <xf numFmtId="181" fontId="0" fillId="0" borderId="55" xfId="0" applyNumberFormat="1" applyBorder="1" applyAlignment="1">
      <alignment horizontal="right"/>
    </xf>
    <xf numFmtId="196" fontId="0" fillId="0" borderId="14" xfId="0" applyNumberFormat="1" applyFont="1" applyBorder="1" applyAlignment="1">
      <alignment horizontal="right"/>
    </xf>
    <xf numFmtId="0" fontId="51" fillId="0" borderId="0" xfId="0" applyFont="1" applyAlignment="1">
      <alignment/>
    </xf>
    <xf numFmtId="199" fontId="0" fillId="8" borderId="26" xfId="0" applyNumberFormat="1" applyFill="1" applyBorder="1" applyAlignment="1">
      <alignment horizontal="right"/>
    </xf>
    <xf numFmtId="199" fontId="0" fillId="8" borderId="65" xfId="0" applyNumberFormat="1" applyFill="1" applyBorder="1" applyAlignment="1">
      <alignment horizontal="right"/>
    </xf>
    <xf numFmtId="199" fontId="0" fillId="34" borderId="26" xfId="0" applyNumberFormat="1" applyFill="1" applyBorder="1" applyAlignment="1">
      <alignment horizontal="right"/>
    </xf>
    <xf numFmtId="0" fontId="47" fillId="35" borderId="50" xfId="0" applyFont="1" applyFill="1" applyBorder="1" applyAlignment="1">
      <alignment horizontal="left"/>
    </xf>
    <xf numFmtId="0" fontId="47" fillId="35" borderId="51" xfId="0" applyFont="1" applyFill="1" applyBorder="1" applyAlignment="1">
      <alignment horizontal="left"/>
    </xf>
    <xf numFmtId="0" fontId="47" fillId="35" borderId="52" xfId="0" applyFont="1" applyFill="1" applyBorder="1" applyAlignment="1">
      <alignment horizontal="right"/>
    </xf>
    <xf numFmtId="0" fontId="0" fillId="0" borderId="53" xfId="0" applyFill="1" applyBorder="1" applyAlignment="1">
      <alignment horizontal="left"/>
    </xf>
    <xf numFmtId="0" fontId="0" fillId="0" borderId="54" xfId="0" applyFill="1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205" fontId="0" fillId="0" borderId="18" xfId="0" applyNumberFormat="1" applyBorder="1" applyAlignment="1">
      <alignment/>
    </xf>
    <xf numFmtId="196" fontId="30" fillId="34" borderId="23" xfId="0" applyNumberFormat="1" applyFont="1" applyFill="1" applyBorder="1" applyAlignment="1">
      <alignment horizontal="center"/>
    </xf>
    <xf numFmtId="199" fontId="0" fillId="0" borderId="0" xfId="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8" borderId="65" xfId="0" applyFill="1" applyBorder="1" applyAlignment="1">
      <alignment/>
    </xf>
    <xf numFmtId="219" fontId="0" fillId="34" borderId="26" xfId="0" applyNumberFormat="1" applyFill="1" applyBorder="1" applyAlignment="1">
      <alignment horizontal="right"/>
    </xf>
    <xf numFmtId="220" fontId="0" fillId="8" borderId="65" xfId="0" applyNumberFormat="1" applyFill="1" applyBorder="1" applyAlignment="1">
      <alignment horizontal="right"/>
    </xf>
    <xf numFmtId="0" fontId="0" fillId="0" borderId="22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47" fillId="35" borderId="51" xfId="0" applyFont="1" applyFill="1" applyBorder="1" applyAlignment="1">
      <alignment horizontal="right"/>
    </xf>
    <xf numFmtId="0" fontId="0" fillId="0" borderId="62" xfId="0" applyBorder="1" applyAlignment="1">
      <alignment/>
    </xf>
    <xf numFmtId="0" fontId="0" fillId="0" borderId="24" xfId="0" applyBorder="1" applyAlignment="1">
      <alignment/>
    </xf>
    <xf numFmtId="0" fontId="24" fillId="34" borderId="20" xfId="0" applyFont="1" applyFill="1" applyBorder="1" applyAlignment="1">
      <alignment horizontal="left"/>
    </xf>
    <xf numFmtId="0" fontId="24" fillId="34" borderId="12" xfId="0" applyFont="1" applyFill="1" applyBorder="1" applyAlignment="1">
      <alignment horizontal="left"/>
    </xf>
    <xf numFmtId="205" fontId="0" fillId="0" borderId="66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44" xfId="0" applyBorder="1" applyAlignment="1">
      <alignment/>
    </xf>
    <xf numFmtId="199" fontId="0" fillId="8" borderId="67" xfId="0" applyNumberFormat="1" applyFill="1" applyBorder="1" applyAlignment="1">
      <alignment horizontal="center"/>
    </xf>
    <xf numFmtId="199" fontId="0" fillId="8" borderId="59" xfId="0" applyNumberFormat="1" applyFill="1" applyBorder="1" applyAlignment="1">
      <alignment horizontal="center"/>
    </xf>
    <xf numFmtId="199" fontId="0" fillId="8" borderId="68" xfId="0" applyNumberFormat="1" applyFill="1" applyBorder="1" applyAlignment="1">
      <alignment horizontal="center"/>
    </xf>
    <xf numFmtId="0" fontId="0" fillId="0" borderId="62" xfId="0" applyBorder="1" applyAlignment="1">
      <alignment/>
    </xf>
    <xf numFmtId="0" fontId="0" fillId="0" borderId="24" xfId="0" applyBorder="1" applyAlignment="1">
      <alignment/>
    </xf>
    <xf numFmtId="196" fontId="52" fillId="37" borderId="12" xfId="0" applyNumberFormat="1" applyFont="1" applyFill="1" applyBorder="1" applyAlignment="1">
      <alignment horizontal="center"/>
    </xf>
    <xf numFmtId="196" fontId="0" fillId="8" borderId="24" xfId="0" applyNumberFormat="1" applyFont="1" applyFill="1" applyBorder="1" applyAlignment="1">
      <alignment horizontal="center"/>
    </xf>
    <xf numFmtId="0" fontId="24" fillId="0" borderId="18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199" fontId="24" fillId="8" borderId="12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/>
    </xf>
    <xf numFmtId="0" fontId="47" fillId="35" borderId="15" xfId="0" applyFont="1" applyFill="1" applyBorder="1" applyAlignment="1">
      <alignment/>
    </xf>
    <xf numFmtId="0" fontId="24" fillId="0" borderId="0" xfId="0" applyFont="1" applyBorder="1" applyAlignment="1">
      <alignment/>
    </xf>
    <xf numFmtId="196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05" fontId="0" fillId="0" borderId="19" xfId="0" applyNumberFormat="1" applyBorder="1" applyAlignment="1">
      <alignment horizontal="center"/>
    </xf>
    <xf numFmtId="205" fontId="24" fillId="0" borderId="19" xfId="0" applyNumberFormat="1" applyFont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196" fontId="24" fillId="0" borderId="19" xfId="0" applyNumberFormat="1" applyFont="1" applyBorder="1" applyAlignment="1">
      <alignment horizontal="right"/>
    </xf>
    <xf numFmtId="205" fontId="0" fillId="0" borderId="27" xfId="0" applyNumberFormat="1" applyBorder="1" applyAlignment="1">
      <alignment horizontal="right"/>
    </xf>
    <xf numFmtId="205" fontId="0" fillId="0" borderId="66" xfId="0" applyNumberFormat="1" applyBorder="1" applyAlignment="1">
      <alignment horizontal="right"/>
    </xf>
    <xf numFmtId="205" fontId="0" fillId="0" borderId="29" xfId="0" applyNumberFormat="1" applyBorder="1" applyAlignment="1">
      <alignment/>
    </xf>
    <xf numFmtId="205" fontId="0" fillId="0" borderId="69" xfId="0" applyNumberFormat="1" applyBorder="1" applyAlignment="1">
      <alignment/>
    </xf>
    <xf numFmtId="199" fontId="0" fillId="8" borderId="26" xfId="0" applyNumberFormat="1" applyFill="1" applyBorder="1" applyAlignment="1">
      <alignment horizontal="right"/>
    </xf>
    <xf numFmtId="199" fontId="0" fillId="8" borderId="65" xfId="0" applyNumberFormat="1" applyFill="1" applyBorder="1" applyAlignment="1">
      <alignment horizontal="right"/>
    </xf>
    <xf numFmtId="199" fontId="0" fillId="8" borderId="27" xfId="0" applyNumberFormat="1" applyFill="1" applyBorder="1" applyAlignment="1">
      <alignment horizontal="right"/>
    </xf>
    <xf numFmtId="199" fontId="0" fillId="8" borderId="66" xfId="0" applyNumberFormat="1" applyFill="1" applyBorder="1" applyAlignment="1">
      <alignment horizontal="right"/>
    </xf>
    <xf numFmtId="0" fontId="0" fillId="8" borderId="65" xfId="0" applyFill="1" applyBorder="1" applyAlignment="1">
      <alignment horizontal="right"/>
    </xf>
    <xf numFmtId="0" fontId="47" fillId="35" borderId="51" xfId="0" applyFont="1" applyFill="1" applyBorder="1" applyAlignment="1">
      <alignment horizontal="center"/>
    </xf>
    <xf numFmtId="0" fontId="0" fillId="0" borderId="57" xfId="0" applyBorder="1" applyAlignment="1">
      <alignment horizontal="left"/>
    </xf>
    <xf numFmtId="0" fontId="0" fillId="0" borderId="27" xfId="0" applyBorder="1" applyAlignment="1">
      <alignment horizontal="left"/>
    </xf>
    <xf numFmtId="199" fontId="0" fillId="8" borderId="29" xfId="0" applyNumberFormat="1" applyFill="1" applyBorder="1" applyAlignment="1">
      <alignment horizontal="right"/>
    </xf>
    <xf numFmtId="199" fontId="0" fillId="8" borderId="69" xfId="0" applyNumberFormat="1" applyFill="1" applyBorder="1" applyAlignment="1">
      <alignment horizontal="right"/>
    </xf>
    <xf numFmtId="199" fontId="0" fillId="8" borderId="51" xfId="0" applyNumberFormat="1" applyFill="1" applyBorder="1" applyAlignment="1">
      <alignment horizontal="right"/>
    </xf>
    <xf numFmtId="199" fontId="0" fillId="8" borderId="52" xfId="0" applyNumberFormat="1" applyFill="1" applyBorder="1" applyAlignment="1">
      <alignment horizontal="right"/>
    </xf>
    <xf numFmtId="0" fontId="0" fillId="0" borderId="54" xfId="0" applyBorder="1" applyAlignment="1">
      <alignment/>
    </xf>
    <xf numFmtId="219" fontId="0" fillId="34" borderId="54" xfId="0" applyNumberFormat="1" applyFill="1" applyBorder="1" applyAlignment="1">
      <alignment horizontal="right"/>
    </xf>
    <xf numFmtId="199" fontId="0" fillId="8" borderId="54" xfId="0" applyNumberFormat="1" applyFill="1" applyBorder="1" applyAlignment="1">
      <alignment horizontal="right"/>
    </xf>
    <xf numFmtId="0" fontId="0" fillId="8" borderId="55" xfId="0" applyFill="1" applyBorder="1" applyAlignment="1">
      <alignment/>
    </xf>
    <xf numFmtId="199" fontId="0" fillId="8" borderId="29" xfId="0" applyNumberFormat="1" applyFill="1" applyBorder="1" applyAlignment="1">
      <alignment/>
    </xf>
    <xf numFmtId="187" fontId="0" fillId="8" borderId="69" xfId="0" applyNumberFormat="1" applyFill="1" applyBorder="1" applyAlignment="1">
      <alignment/>
    </xf>
    <xf numFmtId="0" fontId="46" fillId="0" borderId="70" xfId="0" applyFont="1" applyBorder="1" applyAlignment="1">
      <alignment horizontal="left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46" fillId="0" borderId="0" xfId="0" applyFont="1" applyAlignment="1">
      <alignment/>
    </xf>
    <xf numFmtId="0" fontId="30" fillId="0" borderId="27" xfId="0" applyFont="1" applyBorder="1" applyAlignment="1">
      <alignment horizontal="left"/>
    </xf>
    <xf numFmtId="0" fontId="47" fillId="35" borderId="52" xfId="0" applyFont="1" applyFill="1" applyBorder="1" applyAlignment="1">
      <alignment horizontal="left" vertical="center"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63" xfId="0" applyFont="1" applyBorder="1" applyAlignment="1" applyProtection="1">
      <alignment horizontal="left" vertical="center"/>
      <protection/>
    </xf>
    <xf numFmtId="199" fontId="24" fillId="8" borderId="14" xfId="0" applyNumberFormat="1" applyFont="1" applyFill="1" applyBorder="1" applyAlignment="1">
      <alignment horizontal="center"/>
    </xf>
    <xf numFmtId="196" fontId="0" fillId="8" borderId="73" xfId="0" applyNumberFormat="1" applyFill="1" applyBorder="1" applyAlignment="1">
      <alignment horizontal="right"/>
    </xf>
    <xf numFmtId="196" fontId="0" fillId="8" borderId="13" xfId="0" applyNumberFormat="1" applyFill="1" applyBorder="1" applyAlignment="1">
      <alignment horizontal="right"/>
    </xf>
    <xf numFmtId="0" fontId="0" fillId="0" borderId="74" xfId="0" applyFont="1" applyFill="1" applyBorder="1" applyAlignment="1">
      <alignment horizontal="left"/>
    </xf>
    <xf numFmtId="0" fontId="0" fillId="0" borderId="75" xfId="0" applyFont="1" applyFill="1" applyBorder="1" applyAlignment="1">
      <alignment horizontal="center"/>
    </xf>
    <xf numFmtId="196" fontId="0" fillId="0" borderId="75" xfId="0" applyNumberFormat="1" applyFont="1" applyFill="1" applyBorder="1" applyAlignment="1">
      <alignment horizontal="center"/>
    </xf>
    <xf numFmtId="196" fontId="0" fillId="0" borderId="76" xfId="0" applyNumberFormat="1" applyFont="1" applyFill="1" applyBorder="1" applyAlignment="1">
      <alignment horizontal="center"/>
    </xf>
    <xf numFmtId="199" fontId="0" fillId="8" borderId="26" xfId="0" applyNumberFormat="1" applyFill="1" applyBorder="1" applyAlignment="1">
      <alignment horizontal="right"/>
    </xf>
    <xf numFmtId="199" fontId="0" fillId="8" borderId="65" xfId="0" applyNumberFormat="1" applyFill="1" applyBorder="1" applyAlignment="1">
      <alignment horizontal="right"/>
    </xf>
    <xf numFmtId="0" fontId="0" fillId="0" borderId="62" xfId="0" applyBorder="1" applyAlignment="1">
      <alignment horizontal="left"/>
    </xf>
    <xf numFmtId="0" fontId="0" fillId="0" borderId="24" xfId="0" applyBorder="1" applyAlignment="1">
      <alignment horizontal="left"/>
    </xf>
    <xf numFmtId="199" fontId="0" fillId="8" borderId="29" xfId="0" applyNumberFormat="1" applyFill="1" applyBorder="1" applyAlignment="1">
      <alignment horizontal="right"/>
    </xf>
    <xf numFmtId="199" fontId="0" fillId="8" borderId="69" xfId="0" applyNumberFormat="1" applyFill="1" applyBorder="1" applyAlignment="1">
      <alignment horizontal="right"/>
    </xf>
    <xf numFmtId="0" fontId="47" fillId="35" borderId="50" xfId="0" applyFont="1" applyFill="1" applyBorder="1" applyAlignment="1">
      <alignment horizontal="center"/>
    </xf>
    <xf numFmtId="0" fontId="47" fillId="35" borderId="51" xfId="0" applyFont="1" applyFill="1" applyBorder="1" applyAlignment="1">
      <alignment horizontal="center"/>
    </xf>
    <xf numFmtId="0" fontId="47" fillId="35" borderId="52" xfId="0" applyFont="1" applyFill="1" applyBorder="1" applyAlignment="1">
      <alignment horizontal="center"/>
    </xf>
    <xf numFmtId="0" fontId="47" fillId="35" borderId="16" xfId="0" applyFont="1" applyFill="1" applyBorder="1" applyAlignment="1">
      <alignment horizontal="center" vertical="center"/>
    </xf>
    <xf numFmtId="0" fontId="47" fillId="35" borderId="17" xfId="0" applyFont="1" applyFill="1" applyBorder="1" applyAlignment="1">
      <alignment horizontal="center" vertical="center"/>
    </xf>
    <xf numFmtId="0" fontId="0" fillId="0" borderId="30" xfId="0" applyBorder="1" applyAlignment="1">
      <alignment horizontal="left"/>
    </xf>
    <xf numFmtId="0" fontId="0" fillId="0" borderId="29" xfId="0" applyBorder="1" applyAlignment="1">
      <alignment horizontal="left"/>
    </xf>
    <xf numFmtId="0" fontId="47" fillId="35" borderId="51" xfId="0" applyFont="1" applyFill="1" applyBorder="1" applyAlignment="1">
      <alignment horizontal="center" vertical="center"/>
    </xf>
    <xf numFmtId="0" fontId="0" fillId="8" borderId="26" xfId="0" applyFill="1" applyBorder="1" applyAlignment="1">
      <alignment horizontal="right"/>
    </xf>
    <xf numFmtId="0" fontId="0" fillId="8" borderId="65" xfId="0" applyFill="1" applyBorder="1" applyAlignment="1">
      <alignment horizontal="right"/>
    </xf>
    <xf numFmtId="199" fontId="0" fillId="34" borderId="26" xfId="0" applyNumberFormat="1" applyFill="1" applyBorder="1" applyAlignment="1">
      <alignment horizontal="right"/>
    </xf>
    <xf numFmtId="199" fontId="0" fillId="34" borderId="65" xfId="0" applyNumberFormat="1" applyFill="1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52" fillId="0" borderId="25" xfId="0" applyFont="1" applyBorder="1" applyAlignment="1">
      <alignment horizontal="left"/>
    </xf>
    <xf numFmtId="0" fontId="52" fillId="0" borderId="26" xfId="0" applyFont="1" applyBorder="1" applyAlignment="1">
      <alignment horizontal="left"/>
    </xf>
    <xf numFmtId="0" fontId="52" fillId="0" borderId="56" xfId="0" applyFont="1" applyBorder="1" applyAlignment="1">
      <alignment horizontal="left"/>
    </xf>
    <xf numFmtId="0" fontId="52" fillId="0" borderId="28" xfId="0" applyFont="1" applyBorder="1" applyAlignment="1">
      <alignment horizontal="left"/>
    </xf>
    <xf numFmtId="0" fontId="51" fillId="0" borderId="48" xfId="0" applyFont="1" applyBorder="1" applyAlignment="1">
      <alignment horizontal="center"/>
    </xf>
    <xf numFmtId="0" fontId="47" fillId="35" borderId="77" xfId="0" applyFont="1" applyFill="1" applyBorder="1" applyAlignment="1" applyProtection="1">
      <alignment horizontal="left" vertical="center"/>
      <protection/>
    </xf>
    <xf numFmtId="0" fontId="47" fillId="35" borderId="71" xfId="0" applyFont="1" applyFill="1" applyBorder="1" applyAlignment="1" applyProtection="1">
      <alignment horizontal="left" vertical="center"/>
      <protection/>
    </xf>
    <xf numFmtId="0" fontId="47" fillId="35" borderId="72" xfId="0" applyFont="1" applyFill="1" applyBorder="1" applyAlignment="1" applyProtection="1">
      <alignment horizontal="left" vertical="center"/>
      <protection/>
    </xf>
    <xf numFmtId="14" fontId="0" fillId="0" borderId="28" xfId="0" applyNumberFormat="1" applyBorder="1" applyAlignment="1">
      <alignment horizontal="center"/>
    </xf>
    <xf numFmtId="0" fontId="51" fillId="0" borderId="18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1" fillId="0" borderId="19" xfId="0" applyFont="1" applyFill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47" fillId="35" borderId="50" xfId="0" applyFont="1" applyFill="1" applyBorder="1" applyAlignment="1">
      <alignment horizontal="left"/>
    </xf>
    <xf numFmtId="0" fontId="47" fillId="35" borderId="51" xfId="0" applyFont="1" applyFill="1" applyBorder="1" applyAlignment="1">
      <alignment horizontal="left"/>
    </xf>
    <xf numFmtId="0" fontId="47" fillId="35" borderId="52" xfId="0" applyFont="1" applyFill="1" applyBorder="1" applyAlignment="1">
      <alignment horizontal="left"/>
    </xf>
    <xf numFmtId="196" fontId="46" fillId="0" borderId="0" xfId="0" applyNumberFormat="1" applyFont="1" applyAlignment="1">
      <alignment/>
    </xf>
    <xf numFmtId="11" fontId="0" fillId="0" borderId="22" xfId="0" applyNumberFormat="1" applyFont="1" applyFill="1" applyBorder="1" applyAlignment="1" applyProtection="1">
      <alignment horizontal="left"/>
      <protection hidden="1"/>
    </xf>
    <xf numFmtId="11" fontId="0" fillId="0" borderId="14" xfId="0" applyNumberFormat="1" applyFont="1" applyFill="1" applyBorder="1" applyAlignment="1" applyProtection="1">
      <alignment horizontal="left"/>
      <protection hidden="1"/>
    </xf>
    <xf numFmtId="199" fontId="0" fillId="8" borderId="27" xfId="0" applyNumberFormat="1" applyFill="1" applyBorder="1" applyAlignment="1">
      <alignment horizontal="right"/>
    </xf>
    <xf numFmtId="199" fontId="0" fillId="8" borderId="66" xfId="0" applyNumberFormat="1" applyFill="1" applyBorder="1" applyAlignment="1">
      <alignment horizontal="right"/>
    </xf>
    <xf numFmtId="199" fontId="0" fillId="34" borderId="54" xfId="0" applyNumberFormat="1" applyFill="1" applyBorder="1" applyAlignment="1">
      <alignment horizontal="right"/>
    </xf>
    <xf numFmtId="199" fontId="0" fillId="34" borderId="55" xfId="0" applyNumberFormat="1" applyFill="1" applyBorder="1" applyAlignment="1">
      <alignment horizontal="right"/>
    </xf>
    <xf numFmtId="0" fontId="0" fillId="34" borderId="36" xfId="0" applyFont="1" applyFill="1" applyBorder="1" applyAlignment="1">
      <alignment horizontal="left"/>
    </xf>
    <xf numFmtId="0" fontId="0" fillId="34" borderId="37" xfId="0" applyFont="1" applyFill="1" applyBorder="1" applyAlignment="1">
      <alignment horizontal="left"/>
    </xf>
    <xf numFmtId="0" fontId="0" fillId="34" borderId="78" xfId="0" applyFont="1" applyFill="1" applyBorder="1" applyAlignment="1">
      <alignment horizontal="left"/>
    </xf>
    <xf numFmtId="0" fontId="47" fillId="35" borderId="70" xfId="0" applyFont="1" applyFill="1" applyBorder="1" applyAlignment="1">
      <alignment horizontal="left"/>
    </xf>
    <xf numFmtId="0" fontId="47" fillId="35" borderId="71" xfId="0" applyFont="1" applyFill="1" applyBorder="1" applyAlignment="1">
      <alignment horizontal="left"/>
    </xf>
    <xf numFmtId="0" fontId="47" fillId="35" borderId="72" xfId="0" applyFont="1" applyFill="1" applyBorder="1" applyAlignment="1">
      <alignment horizontal="left"/>
    </xf>
    <xf numFmtId="196" fontId="46" fillId="0" borderId="0" xfId="0" applyNumberFormat="1" applyFont="1" applyAlignment="1">
      <alignment/>
    </xf>
    <xf numFmtId="199" fontId="46" fillId="0" borderId="0" xfId="0" applyNumberFormat="1" applyFont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47" fillId="35" borderId="12" xfId="0" applyFont="1" applyFill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176" fontId="30" fillId="34" borderId="0" xfId="0" applyNumberFormat="1" applyFont="1" applyFill="1" applyBorder="1" applyAlignment="1" applyProtection="1">
      <alignment horizontal="left" vertical="center"/>
      <protection/>
    </xf>
    <xf numFmtId="0" fontId="0" fillId="34" borderId="32" xfId="0" applyFont="1" applyFill="1" applyBorder="1" applyAlignment="1">
      <alignment horizontal="left"/>
    </xf>
    <xf numFmtId="0" fontId="0" fillId="34" borderId="42" xfId="0" applyFont="1" applyFill="1" applyBorder="1" applyAlignment="1">
      <alignment horizontal="left"/>
    </xf>
    <xf numFmtId="0" fontId="0" fillId="34" borderId="79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0" fillId="34" borderId="80" xfId="0" applyFont="1" applyFill="1" applyBorder="1" applyAlignment="1">
      <alignment horizontal="left"/>
    </xf>
    <xf numFmtId="199" fontId="24" fillId="8" borderId="13" xfId="0" applyNumberFormat="1" applyFont="1" applyFill="1" applyBorder="1" applyAlignment="1">
      <alignment horizontal="center"/>
    </xf>
    <xf numFmtId="196" fontId="0" fillId="8" borderId="80" xfId="0" applyNumberFormat="1" applyFill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9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>
          <bgColor theme="3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123825</xdr:rowOff>
    </xdr:from>
    <xdr:to>
      <xdr:col>3</xdr:col>
      <xdr:colOff>161925</xdr:colOff>
      <xdr:row>3</xdr:row>
      <xdr:rowOff>47625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23825"/>
          <a:ext cx="1343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4</xdr:row>
      <xdr:rowOff>28575</xdr:rowOff>
    </xdr:from>
    <xdr:to>
      <xdr:col>15</xdr:col>
      <xdr:colOff>228600</xdr:colOff>
      <xdr:row>10</xdr:row>
      <xdr:rowOff>0</xdr:rowOff>
    </xdr:to>
    <xdr:pic>
      <xdr:nvPicPr>
        <xdr:cNvPr id="2" name="Grafi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800100"/>
          <a:ext cx="1838325" cy="1152525"/>
        </a:xfrm>
        <a:prstGeom prst="rect">
          <a:avLst/>
        </a:prstGeom>
        <a:solidFill>
          <a:srgbClr val="E7E6E6"/>
        </a:solidFill>
        <a:ln w="9525" cmpd="sng">
          <a:noFill/>
        </a:ln>
      </xdr:spPr>
    </xdr:pic>
    <xdr:clientData/>
  </xdr:twoCellAnchor>
  <xdr:twoCellAnchor>
    <xdr:from>
      <xdr:col>5</xdr:col>
      <xdr:colOff>409575</xdr:colOff>
      <xdr:row>1</xdr:row>
      <xdr:rowOff>0</xdr:rowOff>
    </xdr:from>
    <xdr:to>
      <xdr:col>10</xdr:col>
      <xdr:colOff>647700</xdr:colOff>
      <xdr:row>3</xdr:row>
      <xdr:rowOff>38100</xdr:rowOff>
    </xdr:to>
    <xdr:sp>
      <xdr:nvSpPr>
        <xdr:cNvPr id="3" name="Rechteck 1"/>
        <xdr:cNvSpPr>
          <a:spLocks/>
        </xdr:cNvSpPr>
      </xdr:nvSpPr>
      <xdr:spPr>
        <a:xfrm>
          <a:off x="3409950" y="190500"/>
          <a:ext cx="3324225" cy="419100"/>
        </a:xfrm>
        <a:prstGeom prst="rect">
          <a:avLst/>
        </a:prstGeom>
        <a:solidFill>
          <a:srgbClr val="595959"/>
        </a:solidFill>
        <a:ln w="12700" cmpd="sng">
          <a:solidFill>
            <a:srgbClr val="3B3838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Bestellformular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2:Q56"/>
  <sheetViews>
    <sheetView tabSelected="1" zoomScalePageLayoutView="0" workbookViewId="0" topLeftCell="A1">
      <selection activeCell="F22" sqref="F22"/>
    </sheetView>
  </sheetViews>
  <sheetFormatPr defaultColWidth="11.421875" defaultRowHeight="15"/>
  <cols>
    <col min="1" max="1" width="7.140625" style="0" customWidth="1"/>
    <col min="2" max="2" width="4.8515625" style="0" customWidth="1"/>
    <col min="4" max="4" width="11.421875" style="0" customWidth="1"/>
    <col min="5" max="5" width="10.140625" style="0" bestFit="1" customWidth="1"/>
    <col min="6" max="6" width="11.421875" style="0" customWidth="1"/>
    <col min="7" max="7" width="9.7109375" style="0" customWidth="1"/>
    <col min="8" max="8" width="1.421875" style="0" customWidth="1"/>
    <col min="9" max="9" width="17.00390625" style="0" customWidth="1"/>
    <col min="10" max="10" width="6.7109375" style="0" customWidth="1"/>
    <col min="11" max="11" width="13.421875" style="0" customWidth="1"/>
    <col min="12" max="12" width="2.421875" style="0" customWidth="1"/>
    <col min="13" max="13" width="4.00390625" style="0" customWidth="1"/>
    <col min="14" max="14" width="11.421875" style="0" customWidth="1"/>
    <col min="15" max="15" width="13.00390625" style="0" customWidth="1"/>
    <col min="16" max="16" width="11.421875" style="0" customWidth="1"/>
    <col min="18" max="18" width="28.421875" style="0" bestFit="1" customWidth="1"/>
  </cols>
  <sheetData>
    <row r="2" ht="15">
      <c r="N2" s="38"/>
    </row>
    <row r="3" ht="15">
      <c r="N3" s="38"/>
    </row>
    <row r="4" spans="13:17" ht="15.75" thickBot="1">
      <c r="M4" s="57" t="s">
        <v>5</v>
      </c>
      <c r="N4" s="58">
        <f>K9*17.5*(K8/1000)</f>
        <v>560</v>
      </c>
      <c r="O4" s="57" t="s">
        <v>6</v>
      </c>
      <c r="P4" s="281">
        <f>K7-N10-N9</f>
        <v>5860</v>
      </c>
      <c r="Q4" s="281"/>
    </row>
    <row r="5" spans="1:17" ht="15">
      <c r="A5" s="4" t="s">
        <v>16</v>
      </c>
      <c r="B5" s="64"/>
      <c r="C5" s="76"/>
      <c r="D5" s="282"/>
      <c r="E5" s="283"/>
      <c r="F5" s="284"/>
      <c r="I5" s="70" t="s">
        <v>22</v>
      </c>
      <c r="J5" s="71"/>
      <c r="K5" s="77" t="s">
        <v>119</v>
      </c>
      <c r="L5" s="41"/>
      <c r="M5" s="59" t="s">
        <v>61</v>
      </c>
      <c r="N5" s="58">
        <f>N4*N4</f>
        <v>313600</v>
      </c>
      <c r="O5" s="57" t="s">
        <v>7</v>
      </c>
      <c r="P5" s="58">
        <f>ROUND(P4/(F20-1),1)</f>
        <v>732.5</v>
      </c>
      <c r="Q5" s="60"/>
    </row>
    <row r="6" spans="1:17" ht="15">
      <c r="A6" s="65" t="s">
        <v>17</v>
      </c>
      <c r="B6" s="12"/>
      <c r="C6" s="5"/>
      <c r="D6" s="285"/>
      <c r="E6" s="286"/>
      <c r="F6" s="287"/>
      <c r="I6" s="66" t="s">
        <v>104</v>
      </c>
      <c r="J6" s="163"/>
      <c r="K6" s="164"/>
      <c r="L6" s="42"/>
      <c r="M6" s="61" t="s">
        <v>62</v>
      </c>
      <c r="N6" s="58">
        <f>K8*K8</f>
        <v>16000000</v>
      </c>
      <c r="O6" s="57" t="s">
        <v>11</v>
      </c>
      <c r="P6" s="58">
        <f>P5-10</f>
        <v>722.5</v>
      </c>
      <c r="Q6" s="60"/>
    </row>
    <row r="7" spans="1:17" ht="15">
      <c r="A7" s="66" t="s">
        <v>18</v>
      </c>
      <c r="B7" s="14"/>
      <c r="C7" s="7"/>
      <c r="D7" s="285"/>
      <c r="E7" s="286"/>
      <c r="F7" s="287"/>
      <c r="I7" s="66" t="s">
        <v>23</v>
      </c>
      <c r="J7" s="54"/>
      <c r="K7" s="78">
        <v>6000</v>
      </c>
      <c r="L7" s="42"/>
      <c r="M7" s="57" t="s">
        <v>64</v>
      </c>
      <c r="N7" s="58">
        <f>N5+N6</f>
        <v>16313600</v>
      </c>
      <c r="O7" s="62" t="s">
        <v>63</v>
      </c>
      <c r="P7" s="58">
        <v>980</v>
      </c>
      <c r="Q7" s="60"/>
    </row>
    <row r="8" spans="1:17" ht="17.25">
      <c r="A8" s="66" t="s">
        <v>19</v>
      </c>
      <c r="B8" s="14"/>
      <c r="C8" s="7"/>
      <c r="D8" s="285"/>
      <c r="E8" s="286"/>
      <c r="F8" s="287"/>
      <c r="I8" s="66" t="s">
        <v>24</v>
      </c>
      <c r="J8" s="54"/>
      <c r="K8" s="78">
        <v>4000</v>
      </c>
      <c r="L8" s="43"/>
      <c r="M8" s="57" t="s">
        <v>65</v>
      </c>
      <c r="N8" s="63">
        <f>SQRT(N7)</f>
        <v>4039.009779636588</v>
      </c>
      <c r="O8" s="57" t="s">
        <v>9</v>
      </c>
      <c r="P8" s="58">
        <f>ROUND(P5-51,0)</f>
        <v>682</v>
      </c>
      <c r="Q8" s="60"/>
    </row>
    <row r="9" spans="1:17" ht="15">
      <c r="A9" s="66" t="s">
        <v>20</v>
      </c>
      <c r="B9" s="14"/>
      <c r="C9" s="7"/>
      <c r="D9" s="285"/>
      <c r="E9" s="286"/>
      <c r="F9" s="287"/>
      <c r="I9" s="66" t="s">
        <v>25</v>
      </c>
      <c r="J9" s="54"/>
      <c r="K9" s="79">
        <v>8</v>
      </c>
      <c r="L9" s="41"/>
      <c r="M9" s="57" t="s">
        <v>8</v>
      </c>
      <c r="N9" s="58">
        <v>50</v>
      </c>
      <c r="O9" s="9"/>
      <c r="P9" s="60"/>
      <c r="Q9" s="60"/>
    </row>
    <row r="10" spans="1:17" ht="15.75" thickBot="1">
      <c r="A10" s="67" t="s">
        <v>21</v>
      </c>
      <c r="B10" s="68"/>
      <c r="C10" s="69"/>
      <c r="D10" s="268"/>
      <c r="E10" s="269"/>
      <c r="F10" s="270"/>
      <c r="I10" s="66" t="s">
        <v>26</v>
      </c>
      <c r="J10" s="54"/>
      <c r="K10" s="80" t="s">
        <v>102</v>
      </c>
      <c r="L10" s="41"/>
      <c r="M10" s="57" t="s">
        <v>10</v>
      </c>
      <c r="N10" s="58">
        <f>F20*10</f>
        <v>90</v>
      </c>
      <c r="O10" s="9">
        <f>IF(K9=5,"11,42",IF(K9=6,"12,68",IF(K9=7,"13,78",IF(K9=8,"17,18",IF(K9=9,"18,53",IF(K9=10,"19,67",IF(K9=11,"22,35",IF(K9=12,"24,95",))))))))+IF(K9=4,"8,93")</f>
        <v>17.18</v>
      </c>
      <c r="P10" s="60"/>
      <c r="Q10" s="60"/>
    </row>
    <row r="11" spans="1:14" ht="15.75" thickBot="1">
      <c r="A11" s="271" t="s">
        <v>32</v>
      </c>
      <c r="B11" s="272"/>
      <c r="C11" s="273" t="b">
        <v>1</v>
      </c>
      <c r="D11" s="208" t="s">
        <v>117</v>
      </c>
      <c r="E11" s="209"/>
      <c r="F11" s="210"/>
      <c r="I11" s="75" t="s">
        <v>45</v>
      </c>
      <c r="J11" s="74"/>
      <c r="K11" s="81" t="s">
        <v>124</v>
      </c>
      <c r="L11" s="40"/>
      <c r="N11" s="8" t="s">
        <v>27</v>
      </c>
    </row>
    <row r="12" spans="1:14" ht="15">
      <c r="A12" s="211" t="str">
        <f>IF(C11=TRUE,"Länge","")</f>
        <v>Länge</v>
      </c>
      <c r="B12" s="261">
        <f>_xlfn.IFERROR(ROUND(IF(C11=TRUE,N8-69,""),0),"")</f>
        <v>3970</v>
      </c>
      <c r="C12" s="261"/>
      <c r="I12" s="247">
        <f>IF(K7&gt;7000,"!!! Bitte unten links Rinnenstoß angeben !!!","")</f>
      </c>
      <c r="J12" s="247"/>
      <c r="K12" s="247"/>
      <c r="L12" s="17"/>
      <c r="M12" s="18"/>
      <c r="N12" s="18"/>
    </row>
    <row r="13" spans="1:14" ht="15">
      <c r="A13" s="211" t="str">
        <f>IF(C11=TRUE,"Breite","")</f>
        <v>Breite</v>
      </c>
      <c r="B13" s="274">
        <f>_xlfn.IFERROR(ROUND(IF(C11=TRUE,P5-12,""),0),"")</f>
        <v>721</v>
      </c>
      <c r="C13" s="274"/>
      <c r="I13" s="87"/>
      <c r="J13" t="s">
        <v>75</v>
      </c>
      <c r="K13" s="17"/>
      <c r="L13" s="17"/>
      <c r="M13" s="18"/>
      <c r="N13" s="18"/>
    </row>
    <row r="14" spans="1:14" ht="15.75" thickBot="1">
      <c r="A14" s="211" t="str">
        <f>IF(C11=TRUE,"Anzahl","")</f>
        <v>Anzahl</v>
      </c>
      <c r="B14" s="275">
        <f>IF(C11=TRUE,F20-1,"")</f>
        <v>8</v>
      </c>
      <c r="C14" s="275"/>
      <c r="E14" s="135"/>
      <c r="G14" s="1"/>
      <c r="H14" s="1"/>
      <c r="I14" s="1"/>
      <c r="J14" s="1"/>
      <c r="K14" s="1"/>
      <c r="L14" s="1"/>
      <c r="M14" s="1"/>
      <c r="N14" s="1"/>
    </row>
    <row r="15" spans="1:16" ht="14.25" customHeight="1" thickBot="1">
      <c r="A15" s="92" t="s">
        <v>28</v>
      </c>
      <c r="B15" s="93"/>
      <c r="C15" s="93"/>
      <c r="D15" s="93"/>
      <c r="E15" s="93"/>
      <c r="F15" s="93"/>
      <c r="G15" s="94"/>
      <c r="I15" s="88" t="s">
        <v>3</v>
      </c>
      <c r="J15" s="89"/>
      <c r="K15" s="90"/>
      <c r="L15" s="90"/>
      <c r="M15" s="90"/>
      <c r="N15" s="90"/>
      <c r="O15" s="90"/>
      <c r="P15" s="91"/>
    </row>
    <row r="16" spans="1:16" ht="14.25" customHeight="1">
      <c r="A16" s="23" t="s">
        <v>29</v>
      </c>
      <c r="B16" s="24"/>
      <c r="C16" s="24"/>
      <c r="D16" s="24"/>
      <c r="E16" s="24"/>
      <c r="F16" s="44">
        <f>IF(K7&gt;1,1,"")</f>
        <v>1</v>
      </c>
      <c r="G16" s="25">
        <f>K7</f>
        <v>6000</v>
      </c>
      <c r="H16" s="19"/>
      <c r="I16" s="50" t="s">
        <v>43</v>
      </c>
      <c r="J16" s="49" t="b">
        <v>1</v>
      </c>
      <c r="K16" s="264">
        <v>0</v>
      </c>
      <c r="L16" s="265"/>
      <c r="M16" s="241" t="s">
        <v>98</v>
      </c>
      <c r="N16" s="242"/>
      <c r="O16" s="242" t="b">
        <v>1</v>
      </c>
      <c r="P16" s="137" t="str">
        <f>IF(O16=TRUE,"2 Stück","0")</f>
        <v>2 Stück</v>
      </c>
    </row>
    <row r="17" spans="1:16" ht="14.25" customHeight="1">
      <c r="A17" s="183" t="s">
        <v>2</v>
      </c>
      <c r="B17" s="184"/>
      <c r="C17" s="1"/>
      <c r="D17" s="1"/>
      <c r="E17" s="150"/>
      <c r="F17" s="51">
        <f>IF(K7&gt;1,1,"")</f>
        <v>1</v>
      </c>
      <c r="G17" s="185">
        <f>K7</f>
        <v>6000</v>
      </c>
      <c r="H17" s="19"/>
      <c r="I17" s="72" t="s">
        <v>0</v>
      </c>
      <c r="J17" s="73"/>
      <c r="K17" s="223">
        <v>1</v>
      </c>
      <c r="L17" s="224"/>
      <c r="M17" s="243" t="s">
        <v>97</v>
      </c>
      <c r="N17" s="244"/>
      <c r="O17" s="244" t="b">
        <v>0</v>
      </c>
      <c r="P17" s="137" t="str">
        <f>IF(O17=TRUE,"2 Stück","0")</f>
        <v>0</v>
      </c>
    </row>
    <row r="18" spans="1:17" ht="14.25" customHeight="1">
      <c r="A18" s="26" t="s">
        <v>96</v>
      </c>
      <c r="B18" s="1"/>
      <c r="C18" s="1"/>
      <c r="D18" s="1"/>
      <c r="E18" s="9" t="b">
        <v>0</v>
      </c>
      <c r="F18" s="150" t="str">
        <f>IF(E18=TRUE,F16,"0")</f>
        <v>0</v>
      </c>
      <c r="G18" s="27">
        <f>IF(E18=TRUE,K7,"")</f>
      </c>
      <c r="H18" s="19"/>
      <c r="I18" s="72" t="s">
        <v>39</v>
      </c>
      <c r="J18" s="35"/>
      <c r="K18" s="223">
        <v>1</v>
      </c>
      <c r="L18" s="224"/>
      <c r="M18" s="245" t="s">
        <v>99</v>
      </c>
      <c r="N18" s="246"/>
      <c r="O18" s="246" t="b">
        <v>0</v>
      </c>
      <c r="P18" s="137" t="str">
        <f>IF(O18=TRUE,"2 Stück","0")</f>
        <v>0</v>
      </c>
      <c r="Q18" s="148"/>
    </row>
    <row r="19" spans="1:16" ht="14.25" customHeight="1">
      <c r="A19" s="26" t="s">
        <v>30</v>
      </c>
      <c r="B19" s="1"/>
      <c r="C19" s="1"/>
      <c r="D19" s="1"/>
      <c r="E19" s="9" t="b">
        <v>0</v>
      </c>
      <c r="F19" s="51" t="str">
        <f>IF(E19=TRUE,F16,"0")</f>
        <v>0</v>
      </c>
      <c r="G19" s="27">
        <f>IF(E19=TRUE,K7-20,"")</f>
      </c>
      <c r="H19" s="19"/>
      <c r="I19" s="34" t="s">
        <v>40</v>
      </c>
      <c r="J19" s="35"/>
      <c r="K19" s="223">
        <v>0</v>
      </c>
      <c r="L19" s="224"/>
      <c r="M19" s="245" t="s">
        <v>100</v>
      </c>
      <c r="N19" s="246"/>
      <c r="O19" s="246" t="b">
        <v>0</v>
      </c>
      <c r="P19" s="137" t="str">
        <f>IF(O19=TRUE,"2 Stück","0")</f>
        <v>0</v>
      </c>
    </row>
    <row r="20" spans="1:16" ht="14.25" customHeight="1">
      <c r="A20" s="28" t="s">
        <v>14</v>
      </c>
      <c r="B20" s="278" t="s">
        <v>59</v>
      </c>
      <c r="C20" s="278"/>
      <c r="D20" s="278"/>
      <c r="E20" s="6"/>
      <c r="F20" s="82">
        <v>9</v>
      </c>
      <c r="G20" s="29">
        <f>_xlfn.IFERROR(ROUND(IF(F20&gt;0,N8-65,""),0),"")+O10</f>
        <v>3991.18</v>
      </c>
      <c r="H20" s="19"/>
      <c r="I20" s="72" t="s">
        <v>38</v>
      </c>
      <c r="J20" s="35"/>
      <c r="K20" s="223">
        <v>0</v>
      </c>
      <c r="L20" s="224"/>
      <c r="M20" s="279" t="s">
        <v>76</v>
      </c>
      <c r="N20" s="280"/>
      <c r="O20" s="239">
        <f>G28*2</f>
        <v>0</v>
      </c>
      <c r="P20" s="240"/>
    </row>
    <row r="21" spans="1:16" ht="14.25" customHeight="1">
      <c r="A21" s="155" t="s">
        <v>79</v>
      </c>
      <c r="B21" s="156"/>
      <c r="C21" s="156"/>
      <c r="D21" s="156"/>
      <c r="E21" s="11" t="b">
        <v>0</v>
      </c>
      <c r="F21" s="52" t="str">
        <f>IF(E21=TRUE,F20,"0")</f>
        <v>0</v>
      </c>
      <c r="G21" s="149">
        <f>IF(AND(G20&gt;=4120,K10="VSG Glas"),"?STAHL?","")</f>
      </c>
      <c r="H21" s="20"/>
      <c r="I21" s="72" t="s">
        <v>41</v>
      </c>
      <c r="J21" s="136">
        <v>1</v>
      </c>
      <c r="K21" s="237" t="s">
        <v>60</v>
      </c>
      <c r="L21" s="238"/>
      <c r="M21" s="279" t="s">
        <v>77</v>
      </c>
      <c r="N21" s="280"/>
      <c r="O21" s="239">
        <f>F17*2</f>
        <v>2</v>
      </c>
      <c r="P21" s="240"/>
    </row>
    <row r="22" spans="1:16" ht="14.25" customHeight="1">
      <c r="A22" s="32" t="s">
        <v>15</v>
      </c>
      <c r="B22" s="278" t="s">
        <v>59</v>
      </c>
      <c r="C22" s="278"/>
      <c r="D22" s="278"/>
      <c r="E22" s="7"/>
      <c r="F22" s="288">
        <v>3</v>
      </c>
      <c r="G22" s="289">
        <v>0</v>
      </c>
      <c r="H22" s="19"/>
      <c r="I22" s="72" t="s">
        <v>68</v>
      </c>
      <c r="J22" s="73"/>
      <c r="K22" s="223">
        <v>0</v>
      </c>
      <c r="L22" s="224"/>
      <c r="M22" s="73" t="s">
        <v>78</v>
      </c>
      <c r="N22" s="73"/>
      <c r="O22" s="138"/>
      <c r="P22" s="154">
        <v>0</v>
      </c>
    </row>
    <row r="23" spans="1:16" ht="14.25" customHeight="1">
      <c r="A23" s="176" t="s">
        <v>111</v>
      </c>
      <c r="B23" s="10"/>
      <c r="C23" s="174">
        <v>0</v>
      </c>
      <c r="D23" s="218">
        <v>0</v>
      </c>
      <c r="E23" s="175" t="s">
        <v>112</v>
      </c>
      <c r="F23" s="216">
        <v>0</v>
      </c>
      <c r="G23" s="217">
        <v>0</v>
      </c>
      <c r="H23" s="19"/>
      <c r="I23" s="72" t="s">
        <v>1</v>
      </c>
      <c r="J23" s="73"/>
      <c r="K23" s="223">
        <v>0</v>
      </c>
      <c r="L23" s="224"/>
      <c r="M23" s="151" t="s">
        <v>42</v>
      </c>
      <c r="N23" s="153"/>
      <c r="O23" s="136">
        <v>0</v>
      </c>
      <c r="P23" s="152">
        <v>0</v>
      </c>
    </row>
    <row r="24" spans="1:16" ht="14.25" customHeight="1">
      <c r="A24" s="160" t="s">
        <v>31</v>
      </c>
      <c r="B24" s="161"/>
      <c r="C24" s="161"/>
      <c r="D24" s="161"/>
      <c r="E24" s="6"/>
      <c r="F24" s="110">
        <f>IF(F20&gt;2,F20-2,0)</f>
        <v>7</v>
      </c>
      <c r="G24" s="29">
        <f>IF(F24&gt;0,G20,"")-10</f>
        <v>3981.18</v>
      </c>
      <c r="H24" s="21"/>
      <c r="I24" s="95" t="s">
        <v>67</v>
      </c>
      <c r="J24" s="96"/>
      <c r="K24" s="266">
        <f>F20</f>
        <v>9</v>
      </c>
      <c r="L24" s="267"/>
      <c r="M24" s="202" t="s">
        <v>71</v>
      </c>
      <c r="N24" s="203"/>
      <c r="O24" s="204">
        <v>0</v>
      </c>
      <c r="P24" s="205">
        <v>0</v>
      </c>
    </row>
    <row r="25" spans="1:16" ht="14.25" customHeight="1" thickBot="1">
      <c r="A25" s="30" t="s">
        <v>89</v>
      </c>
      <c r="B25" s="13"/>
      <c r="C25" s="10"/>
      <c r="D25" s="11"/>
      <c r="E25" s="10"/>
      <c r="F25" s="45">
        <f>IF(F20&gt;1,2,0)</f>
        <v>2</v>
      </c>
      <c r="G25" s="31">
        <f>IF(F25&gt;0,G20,"")-10</f>
        <v>3981.18</v>
      </c>
      <c r="H25" s="20"/>
      <c r="I25" s="53" t="s">
        <v>115</v>
      </c>
      <c r="J25" s="46"/>
      <c r="K25" s="227">
        <v>0</v>
      </c>
      <c r="L25" s="228"/>
      <c r="M25" s="234" t="s">
        <v>116</v>
      </c>
      <c r="N25" s="235"/>
      <c r="O25" s="206">
        <v>0</v>
      </c>
      <c r="P25" s="207">
        <v>0</v>
      </c>
    </row>
    <row r="26" spans="1:16" ht="14.25" customHeight="1" thickBot="1">
      <c r="A26" s="276" t="s">
        <v>90</v>
      </c>
      <c r="B26" s="277"/>
      <c r="C26" s="277" t="b">
        <v>1</v>
      </c>
      <c r="D26" s="131">
        <f>IF(C26=TRUE,F20-2,"")</f>
        <v>7</v>
      </c>
      <c r="E26" s="132">
        <f>IF(C26=TRUE,P8,"")</f>
        <v>682</v>
      </c>
      <c r="F26" s="131">
        <f>IF(C26=TRUE,1,"")</f>
        <v>1</v>
      </c>
      <c r="G26" s="133">
        <f>IF(C26=TRUE,E26+25,"")</f>
        <v>707</v>
      </c>
      <c r="H26" s="19"/>
      <c r="I26" s="98" t="s">
        <v>101</v>
      </c>
      <c r="J26" s="99"/>
      <c r="K26" s="99"/>
      <c r="L26" s="99"/>
      <c r="M26" s="99"/>
      <c r="N26" s="99"/>
      <c r="O26" s="99"/>
      <c r="P26" s="107"/>
    </row>
    <row r="27" spans="1:16" ht="13.5" customHeight="1">
      <c r="A27" s="262" t="s">
        <v>91</v>
      </c>
      <c r="B27" s="263"/>
      <c r="C27" s="263" t="b">
        <v>0</v>
      </c>
      <c r="D27" s="45">
        <f>IF(C27=TRUE,1,"")</f>
      </c>
      <c r="E27" s="134">
        <f>IF(C27=TRUE,K7,"")</f>
      </c>
      <c r="F27" s="52"/>
      <c r="G27" s="27"/>
      <c r="H27" s="22"/>
      <c r="I27" s="23" t="s">
        <v>37</v>
      </c>
      <c r="J27" s="24"/>
      <c r="K27" s="186">
        <f>ROUND((K7+100)/1000+0.1,2)</f>
        <v>6.2</v>
      </c>
      <c r="L27" s="187"/>
      <c r="M27" s="196" t="s">
        <v>103</v>
      </c>
      <c r="N27" s="197"/>
      <c r="O27" s="212" t="b">
        <v>1</v>
      </c>
      <c r="P27" s="162">
        <f>IF(O27=TRUE,ROUND(G20*((F20-1)*2)/1000+(K7/1000),0)+1,"")</f>
        <v>71</v>
      </c>
    </row>
    <row r="28" spans="1:16" ht="14.25" customHeight="1" thickBot="1">
      <c r="A28" s="32" t="s">
        <v>109</v>
      </c>
      <c r="B28" s="15"/>
      <c r="C28" s="6"/>
      <c r="D28" s="16"/>
      <c r="E28" s="6"/>
      <c r="F28" s="170">
        <v>0</v>
      </c>
      <c r="G28" s="165">
        <v>0</v>
      </c>
      <c r="H28" s="22"/>
      <c r="I28" s="53" t="s">
        <v>66</v>
      </c>
      <c r="J28" s="46"/>
      <c r="K28" s="188">
        <f>ROUND((F24+1)*G24/1000*2,0)+1</f>
        <v>65</v>
      </c>
      <c r="L28" s="189"/>
      <c r="M28" s="184" t="s">
        <v>118</v>
      </c>
      <c r="O28" s="206">
        <v>0</v>
      </c>
      <c r="P28" s="207">
        <v>0</v>
      </c>
    </row>
    <row r="29" spans="1:16" ht="14.25" customHeight="1" thickBot="1">
      <c r="A29" s="172" t="s">
        <v>110</v>
      </c>
      <c r="B29" s="173"/>
      <c r="C29" s="173"/>
      <c r="D29" s="173"/>
      <c r="E29" s="173"/>
      <c r="F29" s="3"/>
      <c r="G29" s="166">
        <v>0</v>
      </c>
      <c r="H29" s="1"/>
      <c r="I29" s="98" t="s">
        <v>44</v>
      </c>
      <c r="J29" s="99"/>
      <c r="K29" s="230" t="s">
        <v>59</v>
      </c>
      <c r="L29" s="230"/>
      <c r="M29" s="230"/>
      <c r="N29" s="230"/>
      <c r="O29" s="230"/>
      <c r="P29" s="141"/>
    </row>
    <row r="30" spans="1:16" ht="14.25" customHeight="1" thickBot="1">
      <c r="A30" s="168" t="s">
        <v>108</v>
      </c>
      <c r="B30" s="169"/>
      <c r="C30" s="169"/>
      <c r="D30" s="33"/>
      <c r="E30" s="159"/>
      <c r="F30" s="171">
        <v>0</v>
      </c>
      <c r="G30" s="167">
        <v>0</v>
      </c>
      <c r="I30" s="100" t="s">
        <v>47</v>
      </c>
      <c r="J30" s="39"/>
      <c r="K30" s="192">
        <v>0</v>
      </c>
      <c r="L30" s="193"/>
      <c r="M30" s="106" t="s">
        <v>73</v>
      </c>
      <c r="N30" s="36"/>
      <c r="O30" s="36"/>
      <c r="P30" s="193">
        <v>0</v>
      </c>
    </row>
    <row r="31" spans="1:16" ht="14.25" customHeight="1">
      <c r="A31" s="177" t="s">
        <v>4</v>
      </c>
      <c r="B31" s="86"/>
      <c r="C31" s="232" t="s">
        <v>59</v>
      </c>
      <c r="D31" s="232"/>
      <c r="E31" s="232"/>
      <c r="F31" s="232"/>
      <c r="G31" s="233"/>
      <c r="I31" s="72" t="s">
        <v>48</v>
      </c>
      <c r="J31" s="73"/>
      <c r="K31" s="190">
        <v>0</v>
      </c>
      <c r="L31" s="191"/>
      <c r="M31" s="105" t="s">
        <v>107</v>
      </c>
      <c r="N31" s="39"/>
      <c r="O31" s="39"/>
      <c r="P31" s="85">
        <v>0</v>
      </c>
    </row>
    <row r="32" spans="1:16" ht="14.25" customHeight="1" thickBot="1">
      <c r="A32" s="26" t="s">
        <v>34</v>
      </c>
      <c r="B32" s="1"/>
      <c r="C32" s="9"/>
      <c r="D32" s="178"/>
      <c r="E32" s="9" t="b">
        <v>0</v>
      </c>
      <c r="F32" s="150">
        <f>IF(E32=TRUE,F20-1,"")</f>
      </c>
      <c r="G32" s="179">
        <f>IF(E32=TRUE,B13,"")</f>
      </c>
      <c r="I32" s="95" t="s">
        <v>72</v>
      </c>
      <c r="J32" s="96"/>
      <c r="K32" s="198">
        <v>0</v>
      </c>
      <c r="L32" s="199"/>
      <c r="M32" s="142" t="s">
        <v>74</v>
      </c>
      <c r="N32" s="143"/>
      <c r="O32" s="96"/>
      <c r="P32" s="97">
        <v>0</v>
      </c>
    </row>
    <row r="33" spans="1:16" ht="14.25" customHeight="1" thickBot="1">
      <c r="A33" s="26" t="s">
        <v>12</v>
      </c>
      <c r="B33" s="1"/>
      <c r="C33" s="9"/>
      <c r="D33" s="178"/>
      <c r="E33" s="9" t="b">
        <v>0</v>
      </c>
      <c r="F33" s="180"/>
      <c r="G33" s="181">
        <f>IF(E33=TRUE,(K7*1.01)/1000,"")</f>
      </c>
      <c r="I33" s="98" t="s">
        <v>52</v>
      </c>
      <c r="J33" s="99"/>
      <c r="K33" s="230" t="s">
        <v>59</v>
      </c>
      <c r="L33" s="230"/>
      <c r="M33" s="230"/>
      <c r="N33" s="230"/>
      <c r="O33" s="230"/>
      <c r="P33" s="141"/>
    </row>
    <row r="34" spans="1:16" ht="14.25" customHeight="1" thickBot="1">
      <c r="A34" s="26" t="s">
        <v>13</v>
      </c>
      <c r="B34" s="1"/>
      <c r="C34" s="9"/>
      <c r="D34" s="178"/>
      <c r="E34" s="9" t="b">
        <v>0</v>
      </c>
      <c r="F34" s="180"/>
      <c r="G34" s="182">
        <f>IF(E34=TRUE,(K7*1.01)/1000,"")</f>
      </c>
      <c r="I34" s="26" t="s">
        <v>53</v>
      </c>
      <c r="J34" s="1"/>
      <c r="K34" s="192">
        <v>0</v>
      </c>
      <c r="L34" s="193"/>
      <c r="M34" s="26" t="s">
        <v>56</v>
      </c>
      <c r="N34" s="1"/>
      <c r="O34" s="1"/>
      <c r="P34" s="85">
        <v>0</v>
      </c>
    </row>
    <row r="35" spans="1:16" ht="14.25" customHeight="1" thickBot="1">
      <c r="A35" s="139" t="s">
        <v>33</v>
      </c>
      <c r="B35" s="99"/>
      <c r="C35" s="157"/>
      <c r="D35" s="157"/>
      <c r="E35" s="195"/>
      <c r="F35" s="99"/>
      <c r="G35" s="104"/>
      <c r="I35" s="72" t="s">
        <v>54</v>
      </c>
      <c r="J35" s="73"/>
      <c r="K35" s="190">
        <v>0</v>
      </c>
      <c r="L35" s="191"/>
      <c r="M35" s="72" t="s">
        <v>57</v>
      </c>
      <c r="N35" s="73"/>
      <c r="O35" s="73"/>
      <c r="P35" s="191">
        <v>0</v>
      </c>
    </row>
    <row r="36" spans="1:16" ht="14.25" customHeight="1" thickBot="1">
      <c r="A36" s="101" t="s">
        <v>46</v>
      </c>
      <c r="B36" s="39"/>
      <c r="C36" s="39"/>
      <c r="D36" s="39"/>
      <c r="E36" s="39"/>
      <c r="F36" s="102">
        <v>0</v>
      </c>
      <c r="G36" s="103">
        <v>0</v>
      </c>
      <c r="I36" s="158" t="s">
        <v>55</v>
      </c>
      <c r="J36" s="159"/>
      <c r="K36" s="198">
        <v>0</v>
      </c>
      <c r="L36" s="199"/>
      <c r="M36" s="158" t="s">
        <v>58</v>
      </c>
      <c r="N36" s="159"/>
      <c r="O36" s="159"/>
      <c r="P36" s="199">
        <v>0</v>
      </c>
    </row>
    <row r="37" spans="1:16" ht="14.25" customHeight="1" thickBot="1">
      <c r="A37" s="72" t="s">
        <v>36</v>
      </c>
      <c r="B37" s="73"/>
      <c r="C37" s="73"/>
      <c r="D37" s="73"/>
      <c r="E37" s="73"/>
      <c r="F37" s="83">
        <v>0</v>
      </c>
      <c r="G37" s="84">
        <v>0</v>
      </c>
      <c r="I37" s="98" t="s">
        <v>80</v>
      </c>
      <c r="J37" s="99"/>
      <c r="K37" s="99"/>
      <c r="L37" s="99"/>
      <c r="M37" s="99"/>
      <c r="N37" s="99"/>
      <c r="O37" s="99"/>
      <c r="P37" s="107"/>
    </row>
    <row r="38" spans="1:16" ht="14.25" customHeight="1" thickBot="1">
      <c r="A38" s="37" t="s">
        <v>69</v>
      </c>
      <c r="B38" s="73"/>
      <c r="C38" s="73"/>
      <c r="D38" s="73"/>
      <c r="E38" s="73"/>
      <c r="F38" s="83">
        <v>0</v>
      </c>
      <c r="G38" s="194">
        <v>0</v>
      </c>
      <c r="I38" s="146" t="s">
        <v>92</v>
      </c>
      <c r="J38" s="147"/>
      <c r="K38" s="200">
        <v>0</v>
      </c>
      <c r="L38" s="201"/>
      <c r="M38" s="144" t="s">
        <v>93</v>
      </c>
      <c r="N38" s="145"/>
      <c r="O38" s="145"/>
      <c r="P38" s="201">
        <v>0</v>
      </c>
    </row>
    <row r="39" spans="1:17" ht="14.25" customHeight="1" thickBot="1">
      <c r="A39" s="37" t="s">
        <v>35</v>
      </c>
      <c r="B39" s="73"/>
      <c r="C39" s="73"/>
      <c r="D39" s="73"/>
      <c r="E39" s="73"/>
      <c r="F39" s="83">
        <v>0</v>
      </c>
      <c r="G39" s="194">
        <v>0</v>
      </c>
      <c r="I39" s="139" t="s">
        <v>82</v>
      </c>
      <c r="J39" s="140"/>
      <c r="K39" s="236" t="s">
        <v>59</v>
      </c>
      <c r="L39" s="236"/>
      <c r="M39" s="236"/>
      <c r="N39" s="236"/>
      <c r="O39" s="236"/>
      <c r="P39" s="213"/>
      <c r="Q39" s="127"/>
    </row>
    <row r="40" spans="1:16" ht="14.25" customHeight="1">
      <c r="A40" s="37" t="s">
        <v>70</v>
      </c>
      <c r="B40" s="73"/>
      <c r="C40" s="73"/>
      <c r="D40" s="73"/>
      <c r="E40" s="73"/>
      <c r="F40" s="83">
        <v>0</v>
      </c>
      <c r="G40" s="194">
        <v>0</v>
      </c>
      <c r="I40" s="26" t="s">
        <v>83</v>
      </c>
      <c r="J40" s="1"/>
      <c r="K40" s="1"/>
      <c r="L40" s="1"/>
      <c r="M40" s="23" t="s">
        <v>86</v>
      </c>
      <c r="N40" s="1"/>
      <c r="O40" s="1"/>
      <c r="P40" s="111"/>
    </row>
    <row r="41" spans="1:16" ht="15">
      <c r="A41" s="72" t="s">
        <v>105</v>
      </c>
      <c r="B41" s="73"/>
      <c r="C41" s="73"/>
      <c r="D41" s="1"/>
      <c r="E41" s="73"/>
      <c r="F41" s="7"/>
      <c r="G41" s="191">
        <v>0</v>
      </c>
      <c r="I41" s="26" t="s">
        <v>84</v>
      </c>
      <c r="J41" s="1"/>
      <c r="K41" s="1"/>
      <c r="L41" s="111"/>
      <c r="M41" s="1" t="s">
        <v>85</v>
      </c>
      <c r="N41" s="1"/>
      <c r="O41" s="1"/>
      <c r="P41" s="111"/>
    </row>
    <row r="42" spans="1:16" ht="14.25" customHeight="1" thickBot="1">
      <c r="A42" s="53" t="s">
        <v>106</v>
      </c>
      <c r="B42" s="159"/>
      <c r="C42" s="159"/>
      <c r="D42" s="46"/>
      <c r="E42" s="159"/>
      <c r="F42" s="159"/>
      <c r="G42" s="199">
        <v>0</v>
      </c>
      <c r="H42" s="26"/>
      <c r="I42" s="225" t="s">
        <v>113</v>
      </c>
      <c r="J42" s="226"/>
      <c r="K42" s="159"/>
      <c r="L42" s="108"/>
      <c r="M42" s="159"/>
      <c r="N42" s="159"/>
      <c r="O42" s="159"/>
      <c r="P42" s="108"/>
    </row>
    <row r="43" spans="1:16" ht="14.25" customHeight="1" thickBot="1">
      <c r="A43" s="229" t="s">
        <v>114</v>
      </c>
      <c r="B43" s="230"/>
      <c r="C43" s="230"/>
      <c r="D43" s="230"/>
      <c r="E43" s="230"/>
      <c r="F43" s="230"/>
      <c r="G43" s="231"/>
      <c r="H43" s="26"/>
      <c r="I43" s="109" t="s">
        <v>94</v>
      </c>
      <c r="J43" s="86"/>
      <c r="K43" s="86"/>
      <c r="L43" s="86"/>
      <c r="M43" s="86"/>
      <c r="N43" s="86"/>
      <c r="O43" s="86"/>
      <c r="P43" s="123"/>
    </row>
    <row r="44" spans="1:16" ht="14.25" customHeight="1" thickBot="1">
      <c r="A44" s="252"/>
      <c r="B44" s="253"/>
      <c r="C44" s="253"/>
      <c r="D44" s="253"/>
      <c r="E44" s="253"/>
      <c r="F44" s="253"/>
      <c r="G44" s="254"/>
      <c r="H44" s="26"/>
      <c r="I44" s="124" t="s">
        <v>95</v>
      </c>
      <c r="J44" s="125"/>
      <c r="K44" s="125"/>
      <c r="L44" s="125"/>
      <c r="M44" s="125"/>
      <c r="N44" s="125"/>
      <c r="O44" s="125"/>
      <c r="P44" s="126"/>
    </row>
    <row r="45" spans="1:16" ht="14.25" customHeight="1" thickBot="1">
      <c r="A45" s="255"/>
      <c r="B45" s="256"/>
      <c r="C45" s="256"/>
      <c r="D45" s="256"/>
      <c r="E45" s="256"/>
      <c r="F45" s="256"/>
      <c r="G45" s="257"/>
      <c r="H45" s="26"/>
      <c r="I45" s="26"/>
      <c r="J45" s="1"/>
      <c r="K45" s="1"/>
      <c r="L45" s="1"/>
      <c r="M45" s="1"/>
      <c r="N45" s="48"/>
      <c r="O45" s="1"/>
      <c r="P45" s="111"/>
    </row>
    <row r="46" spans="1:16" ht="14.25" customHeight="1" thickBot="1">
      <c r="A46" s="258" t="s">
        <v>121</v>
      </c>
      <c r="B46" s="259"/>
      <c r="C46" s="259"/>
      <c r="D46" s="259"/>
      <c r="E46" s="259"/>
      <c r="F46" s="259"/>
      <c r="G46" s="260"/>
      <c r="H46" s="26"/>
      <c r="I46" s="100"/>
      <c r="J46" s="39"/>
      <c r="K46" s="39"/>
      <c r="L46" s="39"/>
      <c r="M46" s="251">
        <f ca="1">TODAY()</f>
        <v>43851</v>
      </c>
      <c r="N46" s="251"/>
      <c r="O46" s="39"/>
      <c r="P46" s="128"/>
    </row>
    <row r="47" spans="1:16" ht="14.25" customHeight="1" thickBot="1">
      <c r="A47" s="219" t="s">
        <v>122</v>
      </c>
      <c r="B47" s="220"/>
      <c r="C47" s="221"/>
      <c r="D47" s="220" t="s">
        <v>120</v>
      </c>
      <c r="E47" s="221"/>
      <c r="F47" s="220" t="s">
        <v>123</v>
      </c>
      <c r="G47" s="222"/>
      <c r="H47" s="112"/>
      <c r="I47" s="129" t="s">
        <v>49</v>
      </c>
      <c r="J47" s="119"/>
      <c r="K47" s="119"/>
      <c r="L47" s="119"/>
      <c r="M47" s="119" t="s">
        <v>50</v>
      </c>
      <c r="N47" s="119"/>
      <c r="O47" s="119"/>
      <c r="P47" s="130" t="s">
        <v>51</v>
      </c>
    </row>
    <row r="48" spans="1:16" ht="15" customHeight="1" thickBot="1">
      <c r="A48" s="248" t="s">
        <v>81</v>
      </c>
      <c r="B48" s="249"/>
      <c r="C48" s="250"/>
      <c r="D48" s="113"/>
      <c r="E48" s="113"/>
      <c r="F48" s="114"/>
      <c r="G48" s="114"/>
      <c r="H48" s="114"/>
      <c r="I48" s="113"/>
      <c r="J48" s="113"/>
      <c r="K48" s="113"/>
      <c r="L48" s="113"/>
      <c r="M48" s="113"/>
      <c r="N48" s="114"/>
      <c r="O48" s="113"/>
      <c r="P48" s="115"/>
    </row>
    <row r="49" spans="1:16" ht="15" customHeight="1">
      <c r="A49" s="214" t="s">
        <v>87</v>
      </c>
      <c r="B49" s="2"/>
      <c r="C49" s="3"/>
      <c r="D49" s="1"/>
      <c r="E49" s="55"/>
      <c r="F49" s="47"/>
      <c r="G49" s="47"/>
      <c r="H49" s="47"/>
      <c r="I49" s="1"/>
      <c r="J49" s="1"/>
      <c r="K49" s="1"/>
      <c r="L49" s="1"/>
      <c r="M49" s="1"/>
      <c r="N49" s="47"/>
      <c r="O49" s="1"/>
      <c r="P49" s="116"/>
    </row>
    <row r="50" spans="1:16" ht="15" customHeight="1" thickBot="1">
      <c r="A50" s="215" t="s">
        <v>88</v>
      </c>
      <c r="B50" s="117"/>
      <c r="C50" s="118"/>
      <c r="D50" s="119"/>
      <c r="E50" s="120"/>
      <c r="F50" s="121"/>
      <c r="G50" s="121"/>
      <c r="H50" s="121"/>
      <c r="I50" s="119"/>
      <c r="J50" s="119"/>
      <c r="K50" s="119"/>
      <c r="L50" s="119"/>
      <c r="M50" s="119"/>
      <c r="N50" s="121"/>
      <c r="O50" s="119"/>
      <c r="P50" s="122"/>
    </row>
    <row r="51" ht="15" customHeight="1"/>
    <row r="52" ht="15" customHeight="1"/>
    <row r="53" ht="15" customHeight="1"/>
    <row r="54" spans="1:14" ht="15" customHeight="1">
      <c r="A54" s="56"/>
      <c r="B54" s="56"/>
      <c r="C54" s="3"/>
      <c r="D54" s="1"/>
      <c r="E54" s="55"/>
      <c r="F54" s="47"/>
      <c r="G54" s="47"/>
      <c r="H54" s="47"/>
      <c r="I54" s="1"/>
      <c r="N54" s="47"/>
    </row>
    <row r="55" spans="1:9" ht="15" customHeight="1">
      <c r="A55" s="2"/>
      <c r="B55" s="2"/>
      <c r="C55" s="3"/>
      <c r="D55" s="1"/>
      <c r="E55" s="55"/>
      <c r="F55" s="47"/>
      <c r="G55" s="47"/>
      <c r="H55" s="47"/>
      <c r="I55" s="1"/>
    </row>
    <row r="56" spans="1:8" ht="15">
      <c r="A56" s="1"/>
      <c r="B56" s="1"/>
      <c r="C56" s="1"/>
      <c r="D56" s="1"/>
      <c r="E56" s="1"/>
      <c r="F56" s="1"/>
      <c r="G56" s="1"/>
      <c r="H56" s="1"/>
    </row>
  </sheetData>
  <sheetProtection/>
  <mergeCells count="46">
    <mergeCell ref="P4:Q4"/>
    <mergeCell ref="D5:F5"/>
    <mergeCell ref="D6:F6"/>
    <mergeCell ref="D7:F7"/>
    <mergeCell ref="D8:F8"/>
    <mergeCell ref="D9:F9"/>
    <mergeCell ref="D10:F10"/>
    <mergeCell ref="A11:C11"/>
    <mergeCell ref="B13:C13"/>
    <mergeCell ref="B14:C14"/>
    <mergeCell ref="M19:O19"/>
    <mergeCell ref="A26:C26"/>
    <mergeCell ref="B22:D22"/>
    <mergeCell ref="B20:D20"/>
    <mergeCell ref="M20:N20"/>
    <mergeCell ref="M21:N21"/>
    <mergeCell ref="I12:K12"/>
    <mergeCell ref="A48:C48"/>
    <mergeCell ref="M46:N46"/>
    <mergeCell ref="A44:G44"/>
    <mergeCell ref="A45:G45"/>
    <mergeCell ref="A46:G46"/>
    <mergeCell ref="B12:C12"/>
    <mergeCell ref="A27:C27"/>
    <mergeCell ref="K16:L16"/>
    <mergeCell ref="K24:L24"/>
    <mergeCell ref="K19:L19"/>
    <mergeCell ref="K20:L20"/>
    <mergeCell ref="K21:L21"/>
    <mergeCell ref="K22:L22"/>
    <mergeCell ref="O21:P21"/>
    <mergeCell ref="M16:O16"/>
    <mergeCell ref="M17:O17"/>
    <mergeCell ref="M18:O18"/>
    <mergeCell ref="K17:L17"/>
    <mergeCell ref="O20:P20"/>
    <mergeCell ref="K23:L23"/>
    <mergeCell ref="K18:L18"/>
    <mergeCell ref="I42:J42"/>
    <mergeCell ref="K25:L25"/>
    <mergeCell ref="A43:G43"/>
    <mergeCell ref="C31:G31"/>
    <mergeCell ref="K29:O29"/>
    <mergeCell ref="K33:O33"/>
    <mergeCell ref="M25:N25"/>
    <mergeCell ref="K39:O39"/>
  </mergeCells>
  <conditionalFormatting sqref="M47">
    <cfRule type="timePeriod" priority="10" dxfId="6" timePeriod="yesterday">
      <formula>FLOOR(M47,1)=TODAY()-1</formula>
    </cfRule>
  </conditionalFormatting>
  <conditionalFormatting sqref="M46">
    <cfRule type="timePeriod" priority="9" dxfId="6" timePeriod="yesterday">
      <formula>FLOOR(M46,1)=TODAY()-1</formula>
    </cfRule>
  </conditionalFormatting>
  <conditionalFormatting sqref="G21">
    <cfRule type="containsText" priority="7" dxfId="3" operator="containsText" stopIfTrue="1" text="?STAHL?">
      <formula>NOT(ISERROR(SEARCH("?STAHL?",G21)))</formula>
    </cfRule>
  </conditionalFormatting>
  <conditionalFormatting sqref="K5">
    <cfRule type="containsText" priority="1" dxfId="2" operator="containsText" stopIfTrue="1" text="weißaluminium">
      <formula>NOT(ISERROR(SEARCH("weißaluminium",K5)))</formula>
    </cfRule>
    <cfRule type="containsText" priority="2" dxfId="0" operator="containsText" stopIfTrue="1" text="weiss">
      <formula>NOT(ISERROR(SEARCH("weiss",K5)))</formula>
    </cfRule>
    <cfRule type="containsText" priority="3" dxfId="0" operator="containsText" stopIfTrue="1" text="weiß">
      <formula>NOT(ISERROR(SEARCH("weiß",K5)))</formula>
    </cfRule>
    <cfRule type="containsText" priority="4" dxfId="7" operator="containsText" stopIfTrue="1" text="anthrazit">
      <formula>NOT(ISERROR(SEARCH("anthrazit",K5)))</formula>
    </cfRule>
    <cfRule type="colorScale" priority="5" dxfId="8">
      <colorScale>
        <cfvo type="num" val="&quot;anthrazit&quot;"/>
        <cfvo type="percentile" val="50"/>
        <cfvo type="max"/>
        <color theme="3"/>
        <color rgb="FFFFEB84"/>
        <color rgb="FFFFEF9C"/>
      </colorScale>
    </cfRule>
    <cfRule type="colorScale" priority="6" dxfId="8">
      <colorScale>
        <cfvo type="percentile" val="10"/>
        <cfvo type="percentile" val="50"/>
        <cfvo type="max"/>
        <color theme="3"/>
        <color theme="0"/>
        <color theme="0" tint="-0.1499900072813034"/>
      </colorScale>
    </cfRule>
  </conditionalFormatting>
  <dataValidations count="29">
    <dataValidation type="list" allowBlank="1" showInputMessage="1" showErrorMessage="1" sqref="L5">
      <formula1>"anthrazit,weiss,Sonderfarbe"</formula1>
    </dataValidation>
    <dataValidation type="list" allowBlank="1" showInputMessage="1" showErrorMessage="1" sqref="L8">
      <formula1>"8,9,10,11,12"</formula1>
    </dataValidation>
    <dataValidation type="list" allowBlank="1" showInputMessage="1" showErrorMessage="1" sqref="L10">
      <formula1>"kein VSG-Glas,klar,matte Folie,opal"</formula1>
    </dataValidation>
    <dataValidation type="list" allowBlank="1" showInputMessage="1" showErrorMessage="1" sqref="F20">
      <formula1>"0,2,3,4,5,6,7,8,9,10,11,12,13,14,15,16,17,18,19,20"</formula1>
    </dataValidation>
    <dataValidation type="list" allowBlank="1" showInputMessage="1" showErrorMessage="1" sqref="H27:H28">
      <formula1>"1,2,3,4,5,6"</formula1>
    </dataValidation>
    <dataValidation type="list" allowBlank="1" showInputMessage="1" showErrorMessage="1" sqref="H21">
      <formula1>"2,5m,3,0m,5,0m,6,0m"</formula1>
    </dataValidation>
    <dataValidation type="list" allowBlank="1" showInputMessage="1" showErrorMessage="1" sqref="G22:G23 D23">
      <formula1>"0,2500,3000,5000,6000"</formula1>
    </dataValidation>
    <dataValidation type="list" allowBlank="1" showInputMessage="1" showErrorMessage="1" sqref="O22">
      <formula1>"0,1,2,3,4,5,6,7,8,9,10,11,12,13,14,15,16,17,18,19,20,21,22,23,24,25,26,27,28,29,20"</formula1>
    </dataValidation>
    <dataValidation type="list" allowBlank="1" showInputMessage="1" showErrorMessage="1" sqref="K21">
      <formula1>"2550mm,3000mm"</formula1>
    </dataValidation>
    <dataValidation type="list" allowBlank="1" showInputMessage="1" showErrorMessage="1" sqref="G37">
      <formula1>"0,2500mm,3000mm,5500mm"</formula1>
    </dataValidation>
    <dataValidation type="list" allowBlank="1" showInputMessage="1" showErrorMessage="1" sqref="G36 G38">
      <formula1>"0,2000mm,4000mm,6000mm"</formula1>
    </dataValidation>
    <dataValidation allowBlank="1" showInputMessage="1" showErrorMessage="1" promptTitle="LED Sets" prompt="Unsere gesamten LED Sets sind kombinierbar. Des Weiteren kann man Strahler entfernen ohne zusätzliche Brücken setzen zu müssen. Allen Sets liegt jeweils eine 4-Kanal Fernbedienung bei. Somit können z.B. 4Stück 12er Sets über eine FB angesteuert werden." sqref="K29"/>
    <dataValidation allowBlank="1" showInputMessage="1" showErrorMessage="1" promptTitle="Doppelstegplatten" prompt="Die Breite der Doppelstegplatten beträgt 980mm. &#10;Hersteller Makrolon.&#10;Typ X5 Platte." sqref="C31"/>
    <dataValidation allowBlank="1" showInputMessage="1" showErrorMessage="1" promptTitle="Achtung" prompt="Polycarbonat bis 4,5m Tiefe.&#10;Bei VSG-Glas über 4,0m Tiefe und bei Polycarbonat über 4,5m Tiefe bitte nachfragen. Hier werden wir dann individuell für Sie statisch rechnen und zusätzliche statische Verstärkungen einplanen." sqref="K8 F30"/>
    <dataValidation type="list" allowBlank="1" showInputMessage="1" showErrorMessage="1" sqref="K9">
      <formula1>"4,5,6,7,8,9,10,11,12"</formula1>
    </dataValidation>
    <dataValidation type="list" allowBlank="1" showInputMessage="1" showErrorMessage="1" sqref="O25:P25 J21 G28:G30 K25 K22:K23 N23:O24 K16:K20 K30:K32 P34:P36 K34:K36 P38 P30:P32 K38 G41:G42 F36:F40 O28:P28">
      <formula1>"0,1,2,3,4,5,6,7,8,9,10,11,12,13,14,15,16,17,18,19,20,21,22,23,24,25,26,27,28,29,30"</formula1>
    </dataValidation>
    <dataValidation type="list" allowBlank="1" showInputMessage="1" showErrorMessage="1" sqref="G39">
      <formula1>"0,6000mm"</formula1>
    </dataValidation>
    <dataValidation allowBlank="1" showInputMessage="1" showErrorMessage="1" promptTitle="Sparrenanzahl" prompt="Die Sparrenanzahl richtig sich nach einer Glasbreite von 720mm bis 800mm. Wünschen Sie kleinere Abstände, so werden die zusätzlich benötigten Sparren gesondert in Rechnung gestellt." sqref="B20"/>
    <dataValidation type="list" allowBlank="1" showInputMessage="1" showErrorMessage="1" sqref="G40">
      <formula1>"0,5500mm"</formula1>
    </dataValidation>
    <dataValidation type="list" allowBlank="1" showInputMessage="1" showErrorMessage="1" sqref="E35">
      <formula1>"anthrazit,weiß,Sonderfarbe (Bitte oben eintragen)"</formula1>
    </dataValidation>
    <dataValidation allowBlank="1" showInputMessage="1" showErrorMessage="1" promptTitle="Pfostenanzahl" prompt="Die Pfostenanzahl entnehmen Sie bitte dem Aluxus-Ordner unter dem Punkt Terrassenüberdachungen. Die Anzahl ist dort für jede Dachbreite farblich markiert. Zusätzlich bestellte Pfosten werden gesondert in Rechnung gestellt. " sqref="B22"/>
    <dataValidation type="list" allowBlank="1" showInputMessage="1" showErrorMessage="1" sqref="P23:P24">
      <formula1>"0,3000mm,6000mm"</formula1>
    </dataValidation>
    <dataValidation type="list" allowBlank="1" showInputMessage="1" showErrorMessage="1" sqref="P22">
      <formula1>"0,1 Dose,2,3,4,5,6,7,8,9,10,11,12,13,14,15,16,17,18,19,20,21,22,23,24,25,26,27,28,29,30"</formula1>
    </dataValidation>
    <dataValidation allowBlank="1" showInputMessage="1" showErrorMessage="1" promptTitle="Zusatzleistungen" prompt="Die Preise für die buchbaren Zusatzleistungen entnehmen Sie bitte im Aluxus Ordner dem Registerpunkt &quot;Gesamtpreisliste&quot; unter Punkt 13." sqref="K39"/>
    <dataValidation allowBlank="1" showInputMessage="1" showErrorMessage="1" promptTitle="Schraubenpakete" prompt="Paket 1= 4mx4,5m. Paket 2= 6x4,5m. Paket 3= 8x4,5m. In den Paketen sind alle Montageschrauben, sowie die Abdeckkappen in schwarz oder weiß enthalten. Schrauben und Dübel für die Wandbefestigung sind nicht Bestandteil der Pakete. (Optional erhältl.)" sqref="K33"/>
    <dataValidation type="list" allowBlank="1" showInputMessage="1" showErrorMessage="1" sqref="K5">
      <formula1>"anthrazit,weiss,weißaluminium,Sonderfarbe"</formula1>
    </dataValidation>
    <dataValidation type="list" allowBlank="1" showInputMessage="1" showErrorMessage="1" sqref="K11">
      <formula1>"ohne,klar,matte Folie,opal"</formula1>
    </dataValidation>
    <dataValidation type="list" allowBlank="1" showInputMessage="1" showErrorMessage="1" promptTitle="Dacheindeckung" prompt="Bei &quot;VSG-Glas&quot;, bitte ein Feld tiefer &quot;klar&quot; oder &quot;matte Folie&quot; auswählen.&#10;Bei &quot;Polycarbonat&quot;, ist die Dacheindeckung automatisch inbegriffen. Bitte ein Feld tiefer &quot;klar&quot; oder &quot;opal&quot; auswählen.&#10; " sqref="L9 K10">
      <formula1>"VSG Glas,Polycarbonat"</formula1>
    </dataValidation>
    <dataValidation type="list" allowBlank="1" showInputMessage="1" showErrorMessage="1" sqref="C23 F22:F23">
      <formula1>"0,1,2,3,4,5,6"</formula1>
    </dataValidation>
  </dataValidations>
  <printOptions/>
  <pageMargins left="0.04" right="0.04" top="0.08" bottom="0.08" header="0" footer="0"/>
  <pageSetup fitToWidth="0" fitToHeight="1" horizontalDpi="600" verticalDpi="600" orientation="portrait" paperSize="9"/>
  <rowBreaks count="1" manualBreakCount="1">
    <brk id="39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Punkte_Joe</dc:creator>
  <cp:keywords/>
  <dc:description/>
  <cp:lastModifiedBy>rubisch desiree</cp:lastModifiedBy>
  <cp:lastPrinted>2019-08-27T08:01:15Z</cp:lastPrinted>
  <dcterms:created xsi:type="dcterms:W3CDTF">2016-04-15T11:12:19Z</dcterms:created>
  <dcterms:modified xsi:type="dcterms:W3CDTF">2020-01-21T11:41:20Z</dcterms:modified>
  <cp:category/>
  <cp:version/>
  <cp:contentType/>
  <cp:contentStatus/>
</cp:coreProperties>
</file>